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e7sM3Jtyjq+tR3+QuAyLHxZBI4j34Bo1pCPucPI/3cAza6cLGGVyfK/oHiRlU1loVZr6MglAXGnQBYzvaeJ1Jw==" workbookSaltValue="Zjal0dwbiENGhPPl1Y0yP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L15" i="2" s="1"/>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R19" i="8"/>
  <c r="EL19" i="8"/>
  <c r="AC11" i="11"/>
  <c r="EQ19" i="8"/>
  <c r="AP12" i="11"/>
  <c r="Y11" i="11"/>
  <c r="AT18" i="17"/>
  <c r="AL10" i="11"/>
  <c r="N10" i="11"/>
  <c r="N9" i="11"/>
  <c r="T10" i="21"/>
  <c r="V10" i="21" s="1"/>
  <c r="F10" i="10"/>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P13" i="16"/>
  <c r="AN13" i="20"/>
  <c r="F15" i="17"/>
  <c r="X11" i="17"/>
  <c r="F17" i="17"/>
  <c r="AQ17" i="17" s="1"/>
  <c r="B17" i="6"/>
  <c r="AO12" i="11"/>
  <c r="AC10" i="11"/>
  <c r="H13" i="12"/>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D12" i="8"/>
  <c r="BG15" i="8"/>
  <c r="BD9" i="8"/>
  <c r="BE9" i="8"/>
  <c r="BA13" i="8"/>
  <c r="X12" i="17"/>
  <c r="AV18" i="17"/>
  <c r="J18" i="17"/>
  <c r="L12"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T20" i="21"/>
  <c r="AX20" i="20"/>
  <c r="X20" i="20"/>
  <c r="O16" i="11"/>
  <c r="T20" i="20"/>
  <c r="I20" i="20"/>
  <c r="AD20" i="20"/>
  <c r="M20" i="20"/>
  <c r="W20" i="21"/>
  <c r="W20" i="20"/>
  <c r="AI20" i="20"/>
  <c r="AG20" i="20"/>
  <c r="AU20" i="20"/>
  <c r="Y20" i="20"/>
  <c r="O20" i="20"/>
  <c r="AH20" i="20"/>
  <c r="Q20" i="20"/>
  <c r="H20" i="20"/>
  <c r="N20" i="20"/>
  <c r="U12" i="11"/>
  <c r="R20" i="20"/>
  <c r="AV20" i="20"/>
  <c r="AO20" i="20"/>
  <c r="Z20" i="20"/>
  <c r="C17" i="6" l="1"/>
  <c r="B18" i="2"/>
  <c r="AJ19" i="8"/>
  <c r="Y19" i="8"/>
  <c r="AO16" i="17"/>
  <c r="AO16" i="11"/>
  <c r="AW18" i="21"/>
  <c r="Z13" i="17"/>
  <c r="AO12" i="17"/>
  <c r="AB19" i="8"/>
  <c r="Z19" i="8"/>
  <c r="BG10" i="8"/>
  <c r="F9" i="2"/>
  <c r="B9" i="6"/>
  <c r="AL11" i="11"/>
  <c r="E11" i="6"/>
  <c r="C11" i="6"/>
  <c r="H12" i="2"/>
  <c r="B16" i="6"/>
  <c r="AO17" i="11"/>
  <c r="E15" i="6"/>
  <c r="K15" i="12" s="1"/>
  <c r="M18" i="2"/>
  <c r="N13" i="2"/>
  <c r="N18" i="2"/>
  <c r="E9" i="6"/>
  <c r="K9" i="12" s="1"/>
  <c r="H12" i="7"/>
  <c r="B12" i="6"/>
  <c r="L12" i="14"/>
  <c r="AO9" i="11"/>
  <c r="H15" i="2"/>
  <c r="D11" i="12"/>
  <c r="BF11" i="8"/>
  <c r="BF9" i="8"/>
  <c r="BG9" i="8"/>
  <c r="K9" i="7" s="1"/>
  <c r="BD11" i="8"/>
  <c r="BE11" i="8"/>
  <c r="I11" i="7" s="1"/>
  <c r="BG12" i="8"/>
  <c r="BE12" i="8"/>
  <c r="I12" i="7" s="1"/>
  <c r="BD15" i="8"/>
  <c r="H15" i="7" s="1"/>
  <c r="BE15" i="8"/>
  <c r="BG16" i="8"/>
  <c r="K16" i="7" s="1"/>
  <c r="C10" i="6"/>
  <c r="L11" i="14"/>
  <c r="E18" i="2"/>
  <c r="F18" i="2" s="1"/>
  <c r="AL15" i="11"/>
  <c r="L16" i="14"/>
  <c r="F15" i="11"/>
  <c r="F16" i="17"/>
  <c r="AQ16" i="17" s="1"/>
  <c r="AY13" i="13"/>
  <c r="BE9" i="13"/>
  <c r="BB13" i="13"/>
  <c r="D12" i="12"/>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F18" i="11" l="1"/>
  <c r="G21" i="11"/>
  <c r="B19" i="7"/>
  <c r="AL18" i="11"/>
  <c r="AM13" i="11"/>
  <c r="B18" i="6"/>
  <c r="H13" i="2"/>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A20" i="16"/>
  <c r="P20" i="11"/>
  <c r="AI20" i="21"/>
  <c r="AM20" i="16"/>
  <c r="AR20" i="11"/>
  <c r="Y20" i="16"/>
  <c r="K20" i="12"/>
  <c r="U20" i="16"/>
  <c r="E20" i="17"/>
  <c r="AD20" i="16"/>
  <c r="AG20" i="21"/>
  <c r="AE20" i="17"/>
  <c r="H20" i="21"/>
  <c r="Y20" i="11"/>
  <c r="Q20" i="11"/>
  <c r="P20" i="17"/>
  <c r="U20" i="1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L20" i="16"/>
  <c r="AN20" i="11"/>
  <c r="S20" i="21"/>
  <c r="E20" i="11"/>
  <c r="BC20" i="21"/>
  <c r="V20" i="16"/>
  <c r="AG20" i="16"/>
  <c r="M20" i="11"/>
  <c r="AI20" i="11"/>
  <c r="Z20" i="17"/>
  <c r="F20" i="12"/>
  <c r="R20" i="11"/>
  <c r="AR20" i="20"/>
  <c r="Q20" i="16"/>
  <c r="K20" i="16"/>
  <c r="AG20" i="17"/>
  <c r="V20" i="17"/>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<sst xmlns="http://schemas.openxmlformats.org/spreadsheetml/2006/main" count="2102" uniqueCount="917">
  <si>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</si>
  <si>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</si>
  <si>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</si>
  <si>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</si>
  <si>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</si>
  <si>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</si>
  <si>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</si>
  <si>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</si>
  <si>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</si>
  <si>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</si>
  <si>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</si>
  <si>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</si>
  <si>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</si>
  <si>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</si>
  <si>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</si>
  <si>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</si>
  <si>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</si>
  <si>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</si>
  <si>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</si>
  <si>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</si>
  <si>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</si>
  <si>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</si>
  <si>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</si>
  <si>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</si>
  <si>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</si>
  <si>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</si>
  <si>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</si>
  <si>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</si>
  <si>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</si>
  <si>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</si>
  <si>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</si>
  <si>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</si>
  <si>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</si>
  <si>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</si>
  <si>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</si>
  <si>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</si>
  <si>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</si>
  <si>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</si>
  <si>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</si>
  <si>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</si>
  <si>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</si>
  <si>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</si>
  <si>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</si>
  <si>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</si>
  <si>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</si>
  <si>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</si>
  <si>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</si>
  <si>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</si>
  <si>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</si>
  <si>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</si>
  <si>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</si>
  <si>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</si>
  <si>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</si>
  <si>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</si>
  <si>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</si>
  <si>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</si>
  <si>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</si>
  <si>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</si>
  <si>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</si>
  <si>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</si>
  <si>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</si>
  <si>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</si>
  <si>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</si>
  <si>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</si>
  <si>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</si>
  <si>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</si>
  <si>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</si>
  <si>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</si>
  <si>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</si>
  <si>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</si>
  <si>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</si>
  <si>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</si>
  <si>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</si>
  <si>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</si>
  <si>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</si>
  <si>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</si>
  <si>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</si>
  <si>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</si>
  <si>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</si>
  <si>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</si>
  <si>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</si>
  <si>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</si>
  <si>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</si>
  <si>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</si>
  <si>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</si>
  <si>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</si>
  <si>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</si>
  <si>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</si>
  <si>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</si>
  <si>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</si>
  <si>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</si>
  <si>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</si>
  <si>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</si>
  <si>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</si>
  <si>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</si>
  <si>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</si>
  <si>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</si>
  <si>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</si>
  <si>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</si>
  <si>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</si>
  <si>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</si>
  <si>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</si>
  <si>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</si>
  <si>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</si>
  <si>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</si>
  <si>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</si>
  <si>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</si>
  <si>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</si>
  <si>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</si>
  <si>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</si>
  <si>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</si>
  <si>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</si>
  <si>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</si>
  <si>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</si>
  <si>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</si>
  <si>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</si>
  <si>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</si>
  <si>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</si>
  <si>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</si>
  <si>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</si>
  <si>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</si>
  <si>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</si>
  <si>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</si>
  <si>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</si>
  <si>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</si>
  <si>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</si>
  <si>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</si>
  <si>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</si>
  <si>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</si>
  <si>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</si>
  <si>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</si>
  <si>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</si>
  <si>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</si>
  <si>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</si>
  <si>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</si>
  <si>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</si>
  <si>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</si>
  <si>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</si>
  <si>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</si>
  <si>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</si>
  <si>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</si>
  <si>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</si>
  <si>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</si>
  <si>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</si>
  <si>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</si>
  <si>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</si>
  <si>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</si>
  <si>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</si>
  <si>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</si>
  <si>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</si>
  <si>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</si>
  <si>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</si>
  <si>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</si>
  <si>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</si>
  <si>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</si>
  <si>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</si>
  <si>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</si>
  <si>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</si>
  <si>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</si>
  <si>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</si>
  <si>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</si>
  <si>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</si>
  <si>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</si>
  <si>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</si>
  <si>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</si>
  <si>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</si>
  <si>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</si>
  <si>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</si>
  <si>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</si>
  <si>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</si>
  <si>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</si>
  <si>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</si>
  <si>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</si>
  <si>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</si>
  <si>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</si>
  <si>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</si>
  <si>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</si>
  <si>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</si>
  <si>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</si>
  <si>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</si>
  <si>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</si>
  <si>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</si>
  <si>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</si>
  <si>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</si>
  <si>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</si>
  <si>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</si>
  <si>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</si>
  <si>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</si>
  <si>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</si>
  <si>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</si>
  <si>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</si>
  <si>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</si>
  <si>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</si>
  <si>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</si>
  <si>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</si>
  <si>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</si>
  <si>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</si>
  <si>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</si>
  <si>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</si>
  <si>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</si>
  <si>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</si>
  <si>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</si>
  <si>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</si>
  <si>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</si>
  <si>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</si>
  <si>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</si>
  <si>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</si>
  <si>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</si>
  <si>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</si>
  <si>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</si>
  <si>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</si>
  <si>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</si>
  <si>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</si>
  <si>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</si>
  <si>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</si>
  <si>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</si>
  <si>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</si>
  <si>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</si>
  <si>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</si>
  <si>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</si>
  <si>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</si>
  <si>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</si>
  <si>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</si>
  <si>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</si>
  <si>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</si>
  <si>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</si>
  <si>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</si>
  <si>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</si>
  <si>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</si>
  <si>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</si>
  <si>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</si>
  <si>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</si>
  <si>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</si>
  <si>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</si>
  <si>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</si>
  <si>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</si>
  <si>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</si>
  <si>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</si>
  <si>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</si>
  <si>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</si>
  <si>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</si>
  <si>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</si>
  <si>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</si>
  <si>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</si>
  <si>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</si>
  <si>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</si>
  <si>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</si>
  <si>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</si>
  <si>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</si>
  <si>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</si>
  <si>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</si>
  <si>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</si>
  <si>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</si>
  <si>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</si>
  <si>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</si>
  <si>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</si>
  <si>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</si>
  <si>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</si>
  <si>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</si>
  <si>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</si>
  <si>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</si>
  <si>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</si>
  <si>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</si>
  <si>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</si>
  <si>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</si>
  <si>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</si>
  <si>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</si>
  <si>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</si>
  <si>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</si>
  <si>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</si>
  <si>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</si>
  <si>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</si>
  <si>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</si>
  <si>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</si>
  <si>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</si>
  <si>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</si>
  <si>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</si>
  <si>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</si>
  <si>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</si>
  <si>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</si>
  <si>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</si>
  <si>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</si>
  <si>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</si>
  <si>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</si>
  <si>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</si>
  <si>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</si>
  <si>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</si>
  <si>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</si>
  <si>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</si>
  <si>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</si>
  <si>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</si>
  <si>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</si>
  <si>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</si>
  <si>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</si>
  <si>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</si>
  <si>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</si>
  <si>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</si>
  <si>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</si>
  <si>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</si>
  <si>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</si>
  <si>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</si>
  <si>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</si>
  <si>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</si>
  <si>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</si>
  <si>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</si>
  <si>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</si>
  <si>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</si>
  <si>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</si>
  <si>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</si>
  <si>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</si>
  <si>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</si>
  <si>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</si>
  <si>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</si>
  <si>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</si>
  <si>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</si>
  <si>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</si>
  <si>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</si>
  <si>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</si>
  <si>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</si>
  <si>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</si>
  <si>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</si>
  <si>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</si>
  <si>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</si>
  <si>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</si>
  <si>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</si>
  <si>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</si>
  <si>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</si>
  <si>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</si>
  <si>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</si>
  <si>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</si>
  <si>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</si>
  <si>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</si>
  <si>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</si>
  <si>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</si>
  <si>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</si>
  <si>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</si>
  <si>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</si>
  <si>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</si>
  <si>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</si>
  <si>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</si>
  <si>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</si>
  <si>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</si>
  <si>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</si>
  <si>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</si>
  <si>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</si>
  <si>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</si>
  <si>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</si>
  <si>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</si>
  <si>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</si>
  <si>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</si>
  <si>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</si>
  <si>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</si>
  <si>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</si>
  <si>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</si>
  <si>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</si>
  <si>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</si>
  <si>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</si>
  <si>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</si>
  <si>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</si>
  <si>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</si>
  <si>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</si>
  <si>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</si>
  <si>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</si>
  <si>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</si>
  <si>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</si>
  <si>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</si>
  <si>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</si>
  <si>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</si>
  <si>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</si>
  <si>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</si>
  <si>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</si>
  <si>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</si>
  <si>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</si>
  <si>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</si>
  <si>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</si>
  <si>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</si>
  <si>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</si>
  <si>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</si>
  <si>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</si>
  <si>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</si>
  <si>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</si>
  <si>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</si>
  <si>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</si>
  <si>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</si>
  <si>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</si>
  <si>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</si>
  <si>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</si>
  <si>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</si>
  <si>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</si>
  <si>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</si>
  <si>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</si>
  <si>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</si>
  <si>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</si>
  <si>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</si>
  <si>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</si>
  <si>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</si>
  <si>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</si>
  <si>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</si>
  <si>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</si>
  <si>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</si>
  <si>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</si>
  <si>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</si>
  <si>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</si>
  <si>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</si>
  <si>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</si>
  <si>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</si>
  <si>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</si>
  <si>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</si>
  <si>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</si>
  <si>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</si>
  <si>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</si>
  <si>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</si>
  <si>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</si>
  <si>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</si>
  <si>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</si>
  <si>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</si>
  <si>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</si>
  <si>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</si>
  <si>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</si>
  <si>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</si>
  <si>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</si>
  <si>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</si>
  <si>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</si>
  <si>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</si>
  <si>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</si>
  <si>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</si>
  <si>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</si>
  <si>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</si>
  <si>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</si>
  <si>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</si>
  <si>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</si>
  <si>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</si>
  <si>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</si>
  <si>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</si>
  <si>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</si>
  <si>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</si>
  <si>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</si>
  <si>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</si>
  <si>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</si>
  <si>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</si>
  <si>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</si>
  <si>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</si>
  <si>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</si>
  <si>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</si>
  <si>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</si>
  <si>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</si>
  <si>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</si>
  <si>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</si>
  <si>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</si>
  <si>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</si>
  <si>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</si>
  <si>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</si>
  <si>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</si>
  <si>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</si>
  <si>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</si>
  <si>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</si>
  <si>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</si>
  <si>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</si>
  <si>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</si>
  <si>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</si>
  <si>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</si>
  <si>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</si>
  <si>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</si>
  <si>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</si>
  <si>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</si>
  <si>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</si>
  <si>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</si>
  <si>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</si>
  <si>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</si>
  <si>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</si>
  <si>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</si>
  <si>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</si>
  <si>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</si>
  <si>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</si>
  <si>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</si>
  <si>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</si>
  <si>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</si>
  <si>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</si>
  <si>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</si>
  <si>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</si>
  <si>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</si>
  <si>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</si>
  <si>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</si>
  <si>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</si>
  <si>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</si>
  <si>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</si>
  <si>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</si>
  <si>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</si>
  <si>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</si>
  <si>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</si>
  <si>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</si>
  <si>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</si>
  <si>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</si>
  <si>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</si>
  <si>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</si>
  <si>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</si>
  <si>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</si>
  <si>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</si>
  <si>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</si>
  <si>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</si>
  <si>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</si>
  <si>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</si>
  <si>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</si>
  <si>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</si>
  <si>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</si>
  <si>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</si>
  <si>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</si>
  <si>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</si>
  <si>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</si>
  <si>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</si>
  <si>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</si>
  <si>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</si>
  <si>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</si>
  <si>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</si>
  <si>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</si>
  <si>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</si>
  <si>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</si>
  <si>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</si>
  <si>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</si>
  <si>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</si>
  <si>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</si>
  <si>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</si>
  <si>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</si>
  <si>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</si>
  <si>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</si>
  <si>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</si>
  <si>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</si>
  <si>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</si>
  <si>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</si>
  <si>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</si>
  <si>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</si>
  <si>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</si>
  <si>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</si>
  <si>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</si>
  <si>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</si>
  <si>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</si>
  <si>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</si>
  <si>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</si>
  <si>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</si>
  <si>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</si>
  <si>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</si>
  <si>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</si>
  <si>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</si>
  <si>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</si>
  <si>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</si>
  <si>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</si>
  <si>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</si>
  <si>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</si>
  <si>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</si>
  <si>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</si>
  <si>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</si>
  <si>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</si>
  <si>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</si>
  <si>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</si>
  <si>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</si>
  <si>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</si>
  <si>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</si>
  <si>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</si>
  <si>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</si>
  <si>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</si>
  <si>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</si>
  <si>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</si>
  <si>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</si>
  <si>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</si>
  <si>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</si>
  <si>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</si>
  <si>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</si>
  <si>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</si>
  <si>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</si>
  <si>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</si>
  <si>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</si>
  <si>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</si>
  <si>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</si>
  <si>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</si>
  <si>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</si>
  <si>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</si>
  <si>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</si>
  <si>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</si>
  <si>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</si>
  <si>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</si>
  <si>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</si>
  <si>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</si>
  <si>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</si>
  <si>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</si>
  <si>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</si>
  <si>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</si>
  <si>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</si>
  <si>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</si>
  <si>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</si>
  <si>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</si>
  <si>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</si>
  <si>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</si>
  <si>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</si>
  <si>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</si>
  <si>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</si>
  <si>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</si>
  <si>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</si>
  <si>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</si>
  <si>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</si>
  <si>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</si>
  <si>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</si>
  <si>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</si>
  <si>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</si>
  <si>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</si>
  <si>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</si>
  <si>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</si>
  <si>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</si>
  <si>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</si>
  <si>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</si>
  <si>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</si>
  <si>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</si>
  <si>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</si>
  <si>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</si>
  <si>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</si>
  <si>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</si>
  <si>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</si>
  <si>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</si>
  <si>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</si>
  <si>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</si>
  <si>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</si>
  <si>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</si>
  <si>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</si>
  <si>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</si>
  <si>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</si>
  <si>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</si>
  <si>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</si>
  <si>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</si>
  <si>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</si>
  <si>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</si>
  <si>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</si>
  <si>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</si>
  <si>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</si>
  <si>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</si>
  <si>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</si>
  <si>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</si>
  <si>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</si>
  <si>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</si>
  <si>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</si>
  <si>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</si>
  <si>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</si>
  <si>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</si>
  <si>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</si>
  <si>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</si>
  <si>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</si>
  <si>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</si>
  <si>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</si>
  <si>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</si>
  <si>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</si>
  <si>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</si>
  <si>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</si>
  <si>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</si>
  <si>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</si>
  <si>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</si>
  <si>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</si>
  <si>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</si>
  <si>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</si>
  <si>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</si>
  <si>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</si>
  <si>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</si>
  <si>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</si>
  <si>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</si>
  <si>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</si>
  <si>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</si>
  <si>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</si>
  <si>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</si>
  <si>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</si>
  <si>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</si>
  <si>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</si>
  <si>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</si>
  <si>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</si>
  <si>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</si>
  <si>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</si>
  <si>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</si>
  <si>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</si>
  <si>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</si>
  <si>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</si>
  <si>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</si>
  <si>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</si>
  <si>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</si>
  <si>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</si>
  <si>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</si>
  <si>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</si>
  <si>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</si>
  <si>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</si>
  <si>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</si>
  <si>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</si>
  <si>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</si>
  <si>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</si>
  <si>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</si>
  <si>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</si>
  <si>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</si>
  <si>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</si>
  <si>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</si>
  <si>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</si>
  <si>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</si>
  <si>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</si>
  <si>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</si>
  <si>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</si>
  <si>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</si>
  <si>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</si>
  <si>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</si>
  <si>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</si>
  <si>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</si>
  <si>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</si>
  <si>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</si>
  <si>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</si>
  <si>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</si>
  <si>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</si>
  <si>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</si>
  <si>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</si>
  <si>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</si>
  <si>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</si>
  <si>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</si>
  <si>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</si>
  <si>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</si>
  <si>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</si>
  <si>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</si>
  <si>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</si>
  <si>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</si>
  <si>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</si>
  <si>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</si>
  <si>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</si>
  <si>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</si>
  <si>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</si>
  <si>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</si>
  <si>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</si>
  <si>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</si>
  <si>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</si>
  <si>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</si>
  <si>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</si>
  <si>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</si>
  <si>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</si>
  <si>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</si>
  <si>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</si>
  <si>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</si>
  <si>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</si>
  <si>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</si>
  <si>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</si>
  <si>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</si>
  <si>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</si>
  <si>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</si>
  <si>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</si>
  <si>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</si>
  <si>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</si>
  <si>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</si>
  <si>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</si>
  <si>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</si>
  <si>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</si>
  <si>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</si>
  <si>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</si>
  <si>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</si>
  <si>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</si>
  <si>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</si>
  <si>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</si>
  <si>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</si>
  <si>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</si>
  <si>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</si>
  <si>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</si>
  <si>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</si>
  <si>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</si>
  <si>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</si>
  <si>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</si>
  <si>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</si>
  <si>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</si>
  <si>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</si>
  <si>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</si>
  <si>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</si>
  <si>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</si>
  <si>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</si>
  <si>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</si>
  <si>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</si>
  <si>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</si>
  <si>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</si>
  <si>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</si>
  <si>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</si>
  <si>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</si>
  <si>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</si>
  <si>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</si>
  <si>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</si>
  <si>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</si>
  <si>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</si>
  <si>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</si>
  <si>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</si>
  <si>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</si>
  <si>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</si>
  <si>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</si>
  <si>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</si>
  <si>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</si>
  <si>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</si>
  <si>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</si>
  <si>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</si>
  <si>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</si>
  <si>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</si>
  <si>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</si>
  <si>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</si>
  <si>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</si>
  <si>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</si>
  <si>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</si>
  <si>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</si>
  <si>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</si>
  <si>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</si>
  <si>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</si>
  <si>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</si>
  <si>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</si>
  <si>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</si>
  <si>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</si>
  <si>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</si>
  <si>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</si>
  <si>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</si>
  <si>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</si>
  <si>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</si>
  <si>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</si>
  <si>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</si>
  <si>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</si>
  <si>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</si>
  <si>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</si>
  <si>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</si>
  <si>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</si>
  <si>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</si>
  <si>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</si>
  <si>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</si>
  <si>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</si>
  <si>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</si>
  <si>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</si>
  <si>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</si>
  <si>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</si>
  <si>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</si>
  <si>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</si>
  <si>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</si>
  <si>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</si>
  <si>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</si>
  <si>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</si>
  <si>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</si>
  <si>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</si>
  <si>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</si>
  <si>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</si>
  <si>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</si>
  <si>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</si>
  <si>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</si>
  <si>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</si>
  <si>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</si>
  <si>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</si>
  <si>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</si>
  <si>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</si>
  <si>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</si>
  <si>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</si>
  <si>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</si>
  <si>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</si>
  <si>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</si>
  <si>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</si>
  <si>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</si>
  <si>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</si>
  <si>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</si>
  <si>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</si>
  <si>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</si>
  <si>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</si>
  <si>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</si>
  <si>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</si>
  <si>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</si>
  <si>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</si>
  <si>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</si>
  <si>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</si>
  <si>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</si>
  <si>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</si>
  <si>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</si>
  <si>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</si>
  <si>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</si>
  <si>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</si>
  <si>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</si>
  <si>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</si>
  <si>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</si>
  <si>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</si>
  <si>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</si>
  <si>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</si>
  <si>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</si>
  <si>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</si>
  <si>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</si>
  <si>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</si>
  <si>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</si>
  <si>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</si>
  <si>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</si>
  <si>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</si>
  <si>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</si>
  <si>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</si>
  <si>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</si>
  <si>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</si>
  <si>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</si>
  <si>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</si>
  <si>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</si>
  <si>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</si>
  <si>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</si>
  <si>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</si>
  <si>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</si>
  <si>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</si>
  <si>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</si>
  <si>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</si>
  <si>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</si>
  <si>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</si>
  <si>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</si>
  <si>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</si>
  <si>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</si>
  <si>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</si>
  <si>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</si>
  <si>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</si>
  <si>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</si>
  <si>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</si>
  <si>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</si>
  <si>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</si>
  <si>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</si>
  <si>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</si>
  <si>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</si>
  <si>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</si>
  <si>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</si>
  <si>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MADRID</t>
  </si>
  <si>
    <t>Provincias</t>
  </si>
  <si>
    <t>Resumenes por Partidos Judiciales</t>
  </si>
  <si>
    <t>GETAFE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</si>
</sst>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9fxzeh4tCM0J/+5Afdp57K2sZgX2QPaSOOY8iKNi+d3YLZvBDJeFmENW5nBsDJ0dHwaF50QkBKJYoQPiZrij3g==" saltValue="A0x3kYUlMyqGaYZEkWpvw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71</v>
      </c>
      <c r="D10" s="224">
        <f>IF(ISNUMBER(Datos!I10),Datos!I10," - ")</f>
        <v>71</v>
      </c>
      <c r="E10" s="225">
        <f>IF(ISNUMBER(Datos!J10),Datos!J10," - ")</f>
        <v>166</v>
      </c>
      <c r="F10" s="225">
        <f>IF(ISNUMBER(Datos!K10),Datos!K10," - ")</f>
        <v>126</v>
      </c>
      <c r="G10" s="1033" t="str">
        <f>IF(Datos!E10&lt;&gt;"",Datos!E10,Datos!D10)</f>
        <v>37</v>
      </c>
      <c r="H10" s="226">
        <f>IF(ISNUMBER(Datos!L10),Datos!L10," - ")</f>
        <v>111</v>
      </c>
      <c r="I10" s="1043" t="str">
        <f>IF(ISNUMBER(Datos!AS10/Datos!BM10),Datos!AS10/Datos!BM10," - ")</f>
        <v xml:space="preserve"> - </v>
      </c>
      <c r="J10" s="1044">
        <f>IF(ISNUMBER(Datos!BY10/Datos!CN10),Datos!BY10/Datos!CN10," - ")</f>
        <v>0</v>
      </c>
      <c r="K10" s="229">
        <f t="shared" ref="K10:K12" si="1">IF(ISNUMBER((E10-F10)/C10),(E10-F10)/C10," - ")</f>
        <v>0.56338028169014087</v>
      </c>
      <c r="L10" s="1024">
        <f>IF(ISNUMBER(NºAsuntos!I10/NºAsuntos!G10),(NºAsuntos!I10/NºAsuntos!G10)*11," - ")</f>
        <v>9.6904761904761898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5.9045383411580588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71</v>
      </c>
      <c r="D13" s="1048">
        <f>SUBTOTAL(9,D9:D12)</f>
        <v>71</v>
      </c>
      <c r="E13" s="1049">
        <f>SUBTOTAL(9,E9:E12)</f>
        <v>166</v>
      </c>
      <c r="F13" s="1050">
        <f>SUBTOTAL(9,F9:F12)</f>
        <v>126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2207</v>
      </c>
      <c r="D16" s="224">
        <f>IF(ISNUMBER(IF(D_I="SI",Datos!I16,Datos!I16+Datos!AC16)),IF(D_I="SI",Datos!I16,Datos!I16+Datos!AC16)," - ")</f>
        <v>1965</v>
      </c>
      <c r="E16" s="225">
        <f>IF(ISNUMBER(IF(D_I="SI",Datos!J16,Datos!J16+Datos!AD16)),IF(D_I="SI",Datos!J16,Datos!J16+Datos!AD16)," - ")</f>
        <v>9878</v>
      </c>
      <c r="F16" s="225">
        <f>IF(ISNUMBER(IF(D_I="SI",Datos!K16,Datos!K16+Datos!AE16)),IF(D_I="SI",Datos!K16,Datos!K16+Datos!AE16)," - ")</f>
        <v>9930</v>
      </c>
      <c r="G16" s="1033" t="str">
        <f>IF(Datos!E16&lt;&gt;"",Datos!E16,Datos!D16)</f>
        <v>04</v>
      </c>
      <c r="H16" s="226">
        <f>IF(ISNUMBER(IF(D_I="SI",Datos!L16,Datos!L16+Datos!AF16)),IF(D_I="SI",Datos!L16,Datos!L16+Datos!AF16)," - ")</f>
        <v>2155</v>
      </c>
      <c r="I16" s="1043" t="str">
        <f>IF(ISNUMBER(Datos!AS16/Datos!BM16),Datos!AS16/Datos!BM16," - ")</f>
        <v xml:space="preserve"> - </v>
      </c>
      <c r="J16" s="1044">
        <f>IF(ISNUMBER(Datos!BY16/Datos!CN16),Datos!BY16/Datos!CN16," - ")</f>
        <v>0</v>
      </c>
      <c r="K16" s="229">
        <f t="shared" si="3"/>
        <v>-2.3561395559583146E-2</v>
      </c>
      <c r="L16" s="1024">
        <f>IF(ISNUMBER(NºAsuntos!I16/NºAsuntos!G16),(NºAsuntos!I16/NºAsuntos!G16)*11," - ")</f>
        <v>2.3872104733131922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130</v>
      </c>
      <c r="D17" s="224">
        <f>IF(ISNUMBER(IF(D_I="SI",Datos!I17,Datos!I17+Datos!AC17)),IF(D_I="SI",Datos!I17,Datos!I17+Datos!AC17)," - ")</f>
        <v>123</v>
      </c>
      <c r="E17" s="225">
        <f>IF(ISNUMBER(IF(D_I="SI",Datos!J17,Datos!J17+Datos!AD17)),IF(D_I="SI",Datos!J17,Datos!J17+Datos!AD17)," - ")</f>
        <v>1344</v>
      </c>
      <c r="F17" s="225">
        <f>IF(ISNUMBER(IF(D_I="SI",Datos!K17,Datos!K17+Datos!AE17)),IF(D_I="SI",Datos!K17,Datos!K17+Datos!AE17)," - ")</f>
        <v>1297</v>
      </c>
      <c r="G17" s="1033" t="str">
        <f>IF(Datos!E17&lt;&gt;"",Datos!E17,Datos!D17)</f>
        <v>37</v>
      </c>
      <c r="H17" s="226">
        <f>IF(ISNUMBER(IF(D_I="SI",Datos!L17,Datos!L17+Datos!AF17)),IF(D_I="SI",Datos!L17,Datos!L17+Datos!AF17)," - ")</f>
        <v>177</v>
      </c>
      <c r="I17" s="1043" t="str">
        <f>IF(ISNUMBER(Datos!AS17/Datos!BM17),Datos!AS17/Datos!BM17," - ")</f>
        <v xml:space="preserve"> - </v>
      </c>
      <c r="J17" s="1044" t="str">
        <f>IF(ISNUMBER((Datos!BY17+Datos!BZ17)/Datos!CN17),(Datos!BY17+Datos!BZ17)/Datos!CN17," - ")</f>
        <v xml:space="preserve"> - </v>
      </c>
      <c r="K17" s="229">
        <f t="shared" si="3"/>
        <v>0.36153846153846153</v>
      </c>
      <c r="L17" s="1024">
        <f>IF(ISNUMBER(NºAsuntos!I17/NºAsuntos!G17),(NºAsuntos!I17/NºAsuntos!G17)*11," - ")</f>
        <v>1.5011565150346953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2337</v>
      </c>
      <c r="D18" s="1048">
        <f>SUBTOTAL(9,D15:D17)</f>
        <v>2088</v>
      </c>
      <c r="E18" s="1049">
        <f>SUBTOTAL(9,E15:E17)</f>
        <v>11222</v>
      </c>
      <c r="F18" s="1049">
        <f>SUBTOTAL(9,F15:F17)</f>
        <v>11227</v>
      </c>
      <c r="G18" s="1051" t="str">
        <f ca="1">INDIRECT(CONCATENATE("G",ROW()-1))</f>
        <v>37</v>
      </c>
      <c r="H18" s="1052">
        <f ca="1">SUMIF(G$14:G17,G18,H$14:H17)</f>
        <v>177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2408</v>
      </c>
      <c r="D19" s="1070">
        <f>SUBTOTAL(9,D9:D18)</f>
        <v>2159</v>
      </c>
      <c r="E19" s="1071">
        <f>SUBTOTAL(9,E9:E18)</f>
        <v>11388</v>
      </c>
      <c r="F19" s="1071">
        <f>SUBTOTAL(9,F9:F18)</f>
        <v>11353</v>
      </c>
      <c r="G19" s="1072"/>
      <c r="H19" s="1073">
        <f ca="1">SUMIF(B9:B18,"TOTAL",H9:H18)</f>
        <v>177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nd+3wLkjwFtEKOPF9S6zfk30w1zJWrn2UpK+APPdcg9bkn297wpJAHWQF9zppbF5sSsUouwaYulczqegEU2ceA==" saltValue="gFquGy2XhPcAbcKqw2mzK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e6no2Zb2H0Scmoldt5tCC02FnfiN4jXiEpt2aPpzdcn0fb7TvGRXqyapB3Ss63lr39dVUtLiXan4D6HFuwqmQ==" saltValue="0ecaM9Aa+8L5KkeFYIhW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71</v>
      </c>
      <c r="J10" s="180">
        <v>166</v>
      </c>
      <c r="K10" s="180">
        <v>126</v>
      </c>
      <c r="L10" s="180">
        <v>111</v>
      </c>
      <c r="M10" s="180">
        <v>42</v>
      </c>
      <c r="N10" s="180">
        <v>56</v>
      </c>
      <c r="O10" s="180">
        <v>9</v>
      </c>
      <c r="P10" s="180">
        <v>15</v>
      </c>
      <c r="Q10" s="180">
        <v>14</v>
      </c>
      <c r="R10" s="180">
        <v>54</v>
      </c>
      <c r="S10" s="180">
        <v>28</v>
      </c>
      <c r="T10" s="180">
        <v>159</v>
      </c>
      <c r="U10" s="180">
        <v>116</v>
      </c>
      <c r="V10" s="180">
        <v>71</v>
      </c>
      <c r="W10" s="180">
        <v>41</v>
      </c>
      <c r="X10" s="187">
        <v>54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28</v>
      </c>
      <c r="AZ10" s="129">
        <f t="shared" si="0"/>
        <v>159</v>
      </c>
      <c r="BA10" s="129">
        <f t="shared" si="0"/>
        <v>116</v>
      </c>
      <c r="BB10" s="129">
        <f t="shared" si="0"/>
        <v>71</v>
      </c>
      <c r="BC10" s="125">
        <f t="shared" si="0"/>
        <v>41</v>
      </c>
      <c r="BD10" s="126">
        <f>IF(ISNUMBER(BA10/AZ10),BA10/AZ10," - ")</f>
        <v>0.72955974842767291</v>
      </c>
      <c r="BE10" s="127">
        <f>IF(ISNUMBER(BB10/BA10),BB10/BA10, " - ")</f>
        <v>0.61206896551724133</v>
      </c>
      <c r="BF10" s="127">
        <f>IF(ISNUMBER(BC10/BA10),BC10/BA10, " - ")</f>
        <v>0.35344827586206895</v>
      </c>
      <c r="BG10" s="195">
        <f>IF(ISNUMBER((AY10+AZ10)/BA10),(AY10+AZ10)/BA10," - ")</f>
        <v>1.6120689655172413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6188</v>
      </c>
      <c r="J12" s="182">
        <v>9417</v>
      </c>
      <c r="K12" s="182">
        <v>10125</v>
      </c>
      <c r="L12" s="182">
        <v>5603</v>
      </c>
      <c r="M12" s="182">
        <v>2064</v>
      </c>
      <c r="N12" s="182">
        <v>6800</v>
      </c>
      <c r="O12" s="180">
        <v>2535</v>
      </c>
      <c r="P12" s="182">
        <v>1959</v>
      </c>
      <c r="Q12" s="182">
        <v>2020</v>
      </c>
      <c r="R12" s="182">
        <v>7607</v>
      </c>
      <c r="S12" s="182">
        <v>4694</v>
      </c>
      <c r="T12" s="182">
        <v>11213</v>
      </c>
      <c r="U12" s="182">
        <v>9727</v>
      </c>
      <c r="V12" s="182">
        <v>6188</v>
      </c>
      <c r="W12" s="182">
        <v>1695</v>
      </c>
      <c r="X12" s="188">
        <v>6418</v>
      </c>
      <c r="Y12" s="190">
        <v>178</v>
      </c>
      <c r="Z12" s="180">
        <v>789</v>
      </c>
      <c r="AA12" s="180">
        <v>738</v>
      </c>
      <c r="AB12" s="180">
        <v>228</v>
      </c>
      <c r="AC12" s="182">
        <v>0</v>
      </c>
      <c r="AD12" s="182">
        <v>0</v>
      </c>
      <c r="AE12" s="182">
        <v>0</v>
      </c>
      <c r="AF12" s="188">
        <v>0</v>
      </c>
      <c r="AG12" s="201">
        <v>204</v>
      </c>
      <c r="AH12" s="182">
        <v>660</v>
      </c>
      <c r="AI12" s="182">
        <v>691</v>
      </c>
      <c r="AJ12" s="202">
        <v>178</v>
      </c>
      <c r="AK12" s="181">
        <v>0</v>
      </c>
      <c r="AL12" s="182">
        <v>0</v>
      </c>
      <c r="AM12" s="182">
        <v>0</v>
      </c>
      <c r="AN12" s="188">
        <v>0</v>
      </c>
      <c r="AO12" s="258">
        <v>8</v>
      </c>
      <c r="AP12" s="154">
        <v>8</v>
      </c>
      <c r="AQ12" s="154">
        <v>8</v>
      </c>
      <c r="AR12" s="153">
        <v>8</v>
      </c>
      <c r="AS12" s="339" t="s">
        <v>794</v>
      </c>
      <c r="AT12" s="202"/>
      <c r="AU12" s="201"/>
      <c r="AV12" s="202"/>
      <c r="AW12" s="201"/>
      <c r="AX12" s="202"/>
      <c r="AY12" s="126">
        <f t="shared" si="1"/>
        <v>4898</v>
      </c>
      <c r="AZ12" s="127">
        <f t="shared" si="1"/>
        <v>11873</v>
      </c>
      <c r="BA12" s="127">
        <f t="shared" si="1"/>
        <v>10418</v>
      </c>
      <c r="BB12" s="127">
        <f t="shared" si="1"/>
        <v>6366</v>
      </c>
      <c r="BC12" s="125">
        <f>IF(ISNUMBER(X12),X12," - ")</f>
        <v>6418</v>
      </c>
      <c r="BD12" s="126">
        <f t="shared" si="2"/>
        <v>0.87745304472332186</v>
      </c>
      <c r="BE12" s="127">
        <f t="shared" si="3"/>
        <v>0.61105778460357074</v>
      </c>
      <c r="BF12" s="127">
        <f t="shared" si="4"/>
        <v>0.61604914570934921</v>
      </c>
      <c r="BG12" s="195">
        <f t="shared" si="5"/>
        <v>1.6098099443271261</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6259</v>
      </c>
      <c r="J13" s="183">
        <f t="shared" si="6"/>
        <v>9583</v>
      </c>
      <c r="K13" s="183">
        <f t="shared" si="6"/>
        <v>10251</v>
      </c>
      <c r="L13" s="183">
        <f t="shared" si="6"/>
        <v>5714</v>
      </c>
      <c r="M13" s="183">
        <f t="shared" si="6"/>
        <v>2106</v>
      </c>
      <c r="N13" s="183">
        <f t="shared" si="6"/>
        <v>6856</v>
      </c>
      <c r="O13" s="183">
        <f t="shared" si="6"/>
        <v>2544</v>
      </c>
      <c r="P13" s="183">
        <f t="shared" si="6"/>
        <v>1974</v>
      </c>
      <c r="Q13" s="183">
        <f t="shared" si="6"/>
        <v>2034</v>
      </c>
      <c r="R13" s="183">
        <f t="shared" si="6"/>
        <v>7661</v>
      </c>
      <c r="S13" s="183">
        <f t="shared" si="6"/>
        <v>4722</v>
      </c>
      <c r="T13" s="183">
        <f t="shared" si="6"/>
        <v>11372</v>
      </c>
      <c r="U13" s="183">
        <f t="shared" si="6"/>
        <v>9843</v>
      </c>
      <c r="V13" s="183">
        <f t="shared" si="6"/>
        <v>6259</v>
      </c>
      <c r="W13" s="183">
        <f t="shared" si="6"/>
        <v>1736</v>
      </c>
      <c r="X13" s="183">
        <f t="shared" si="6"/>
        <v>6472</v>
      </c>
      <c r="Y13" s="183">
        <f t="shared" si="6"/>
        <v>178</v>
      </c>
      <c r="Z13" s="183">
        <f t="shared" si="6"/>
        <v>789</v>
      </c>
      <c r="AA13" s="183">
        <f t="shared" si="6"/>
        <v>738</v>
      </c>
      <c r="AB13" s="183">
        <f t="shared" si="6"/>
        <v>228</v>
      </c>
      <c r="AC13" s="183">
        <f t="shared" si="6"/>
        <v>0</v>
      </c>
      <c r="AD13" s="183">
        <f t="shared" si="6"/>
        <v>0</v>
      </c>
      <c r="AE13" s="183">
        <f t="shared" si="6"/>
        <v>0</v>
      </c>
      <c r="AF13" s="183">
        <f>SUBTOTAL(9,AF9:AF12)</f>
        <v>0</v>
      </c>
      <c r="AG13" s="183">
        <f t="shared" ref="AG13:AT13" si="7">SUBTOTAL(9,AG8:AG12)</f>
        <v>204</v>
      </c>
      <c r="AH13" s="183">
        <f t="shared" si="7"/>
        <v>660</v>
      </c>
      <c r="AI13" s="183">
        <f t="shared" si="7"/>
        <v>691</v>
      </c>
      <c r="AJ13" s="183">
        <f t="shared" si="7"/>
        <v>178</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4926</v>
      </c>
      <c r="AZ13" s="183">
        <f>SUBTOTAL(9,AZ8:AZ12)</f>
        <v>12032</v>
      </c>
      <c r="BA13" s="183">
        <f>SUBTOTAL(9,BA8:BA12)</f>
        <v>10534</v>
      </c>
      <c r="BB13" s="183">
        <f>SUBTOTAL(9,BB8:BB12)</f>
        <v>6437</v>
      </c>
      <c r="BC13" s="183">
        <f>SUBTOTAL(9,BC8:BC12)</f>
        <v>6459</v>
      </c>
      <c r="BD13" s="204">
        <f>IF(ISNUMBER(BA13/AZ13),BA13/AZ13," - ")</f>
        <v>0.87549867021276595</v>
      </c>
      <c r="BE13" s="205">
        <f>IF(ISNUMBER(BB13/BA13),BB13/BA13, " - ")</f>
        <v>0.61106891968862731</v>
      </c>
      <c r="BF13" s="205">
        <f>IF(ISNUMBER(BC13/BA13),BC13/BA13, " - ")</f>
        <v>0.61315739510157585</v>
      </c>
      <c r="BG13" s="206">
        <f>IF(ISNUMBER((AY13+AZ13)/BA13),(AY13+AZ13)/BA13," - ")</f>
        <v>1.6098348205809758</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1965</v>
      </c>
      <c r="J16" s="182">
        <v>9878</v>
      </c>
      <c r="K16" s="182">
        <v>9930</v>
      </c>
      <c r="L16" s="182">
        <v>2155</v>
      </c>
      <c r="M16" s="182">
        <v>1331</v>
      </c>
      <c r="N16" s="182">
        <v>6458</v>
      </c>
      <c r="O16" s="180">
        <v>121</v>
      </c>
      <c r="P16" s="182">
        <v>540</v>
      </c>
      <c r="Q16" s="182">
        <v>539</v>
      </c>
      <c r="R16" s="182">
        <v>465</v>
      </c>
      <c r="S16" s="182">
        <v>1682</v>
      </c>
      <c r="T16" s="182">
        <v>10457</v>
      </c>
      <c r="U16" s="182">
        <v>10398</v>
      </c>
      <c r="V16" s="182">
        <v>1965</v>
      </c>
      <c r="W16" s="182">
        <v>1231</v>
      </c>
      <c r="X16" s="188">
        <v>6996</v>
      </c>
      <c r="Y16" s="201">
        <v>0</v>
      </c>
      <c r="Z16" s="182">
        <v>0</v>
      </c>
      <c r="AA16" s="182">
        <v>0</v>
      </c>
      <c r="AB16" s="182">
        <v>0</v>
      </c>
      <c r="AC16" s="182">
        <v>18</v>
      </c>
      <c r="AD16" s="182">
        <v>13</v>
      </c>
      <c r="AE16" s="182">
        <v>13</v>
      </c>
      <c r="AF16" s="188">
        <v>18</v>
      </c>
      <c r="AG16" s="201">
        <v>0</v>
      </c>
      <c r="AH16" s="182">
        <v>0</v>
      </c>
      <c r="AI16" s="182">
        <v>0</v>
      </c>
      <c r="AJ16" s="202">
        <v>0</v>
      </c>
      <c r="AK16" s="181">
        <v>18</v>
      </c>
      <c r="AL16" s="182">
        <v>9</v>
      </c>
      <c r="AM16" s="182">
        <v>9</v>
      </c>
      <c r="AN16" s="188">
        <v>18</v>
      </c>
      <c r="AO16" s="258">
        <v>8</v>
      </c>
      <c r="AP16" s="154">
        <v>8</v>
      </c>
      <c r="AQ16" s="154">
        <v>8</v>
      </c>
      <c r="AR16" s="154">
        <v>8</v>
      </c>
      <c r="AS16" s="339" t="s">
        <v>487</v>
      </c>
      <c r="AT16" s="202"/>
      <c r="AU16" s="201"/>
      <c r="AV16" s="202"/>
      <c r="AW16" s="201"/>
      <c r="AX16" s="202"/>
      <c r="AY16" s="126">
        <f t="shared" si="9"/>
        <v>1682</v>
      </c>
      <c r="AZ16" s="127">
        <f t="shared" si="9"/>
        <v>10457</v>
      </c>
      <c r="BA16" s="127">
        <f t="shared" si="9"/>
        <v>10398</v>
      </c>
      <c r="BB16" s="127">
        <f t="shared" si="9"/>
        <v>1965</v>
      </c>
      <c r="BC16" s="125">
        <f>IF(ISNUMBER(W16),W16," - ")</f>
        <v>1231</v>
      </c>
      <c r="BD16" s="126">
        <f t="shared" ref="BD16" si="11">IF(ISNUMBER(BA16/AZ16),BA16/AZ16," - ")</f>
        <v>0.99435784641866687</v>
      </c>
      <c r="BE16" s="127">
        <f t="shared" ref="BE16" si="12">IF(ISNUMBER(BB16/BA16),BB16/BA16, " - ")</f>
        <v>0.18897864974033468</v>
      </c>
      <c r="BF16" s="127">
        <f t="shared" ref="BF16" si="13">IF(ISNUMBER(BC16/BA16),BC16/BA16, " - ")</f>
        <v>0.11838815156760915</v>
      </c>
      <c r="BG16" s="195">
        <f t="shared" si="10"/>
        <v>1.1674360453933448</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123</v>
      </c>
      <c r="J17" s="182">
        <v>1344</v>
      </c>
      <c r="K17" s="182">
        <v>1297</v>
      </c>
      <c r="L17" s="182">
        <v>177</v>
      </c>
      <c r="M17" s="182">
        <v>69</v>
      </c>
      <c r="N17" s="182">
        <v>622</v>
      </c>
      <c r="O17" s="182">
        <v>5</v>
      </c>
      <c r="P17" s="182">
        <v>8</v>
      </c>
      <c r="Q17" s="182">
        <v>5</v>
      </c>
      <c r="R17" s="182">
        <v>5</v>
      </c>
      <c r="S17" s="182">
        <v>71</v>
      </c>
      <c r="T17" s="182">
        <v>1232</v>
      </c>
      <c r="U17" s="182">
        <v>1227</v>
      </c>
      <c r="V17" s="182">
        <v>123</v>
      </c>
      <c r="W17" s="182">
        <v>87</v>
      </c>
      <c r="X17" s="188">
        <v>638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71</v>
      </c>
      <c r="AZ17" s="129">
        <f t="shared" si="14"/>
        <v>1232</v>
      </c>
      <c r="BA17" s="129">
        <f t="shared" si="14"/>
        <v>1227</v>
      </c>
      <c r="BB17" s="129">
        <f t="shared" si="14"/>
        <v>123</v>
      </c>
      <c r="BC17" s="125">
        <f>IF(ISNUMBER(W17),W17," - ")</f>
        <v>87</v>
      </c>
      <c r="BD17" s="126">
        <f>IF(ISNUMBER(BA17/AZ17),BA17/AZ17," - ")</f>
        <v>0.99594155844155841</v>
      </c>
      <c r="BE17" s="127">
        <f>IF(ISNUMBER(BB17/BA17),BB17/BA17, " - ")</f>
        <v>0.10024449877750612</v>
      </c>
      <c r="BF17" s="127">
        <f>IF(ISNUMBER(BC17/BA17),BC17/BA17, " - ")</f>
        <v>7.090464547677261E-2</v>
      </c>
      <c r="BG17" s="195">
        <f>IF(ISNUMBER((AY17+AZ17)/BA17),(AY17+AZ17)/BA17," - ")</f>
        <v>1.0619396903015486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2088</v>
      </c>
      <c r="J18" s="183">
        <f t="shared" si="15"/>
        <v>11222</v>
      </c>
      <c r="K18" s="183">
        <f t="shared" si="15"/>
        <v>11227</v>
      </c>
      <c r="L18" s="183">
        <f t="shared" si="15"/>
        <v>2332</v>
      </c>
      <c r="M18" s="183">
        <f t="shared" si="15"/>
        <v>1400</v>
      </c>
      <c r="N18" s="183">
        <f t="shared" si="15"/>
        <v>7080</v>
      </c>
      <c r="O18" s="183">
        <f t="shared" si="15"/>
        <v>126</v>
      </c>
      <c r="P18" s="183">
        <f t="shared" si="15"/>
        <v>548</v>
      </c>
      <c r="Q18" s="183">
        <f t="shared" si="15"/>
        <v>544</v>
      </c>
      <c r="R18" s="183">
        <f t="shared" si="15"/>
        <v>470</v>
      </c>
      <c r="S18" s="183">
        <f t="shared" si="15"/>
        <v>1753</v>
      </c>
      <c r="T18" s="183">
        <f t="shared" si="15"/>
        <v>11689</v>
      </c>
      <c r="U18" s="183">
        <f t="shared" si="15"/>
        <v>11625</v>
      </c>
      <c r="V18" s="183">
        <f t="shared" si="15"/>
        <v>2088</v>
      </c>
      <c r="W18" s="183">
        <f t="shared" si="15"/>
        <v>1318</v>
      </c>
      <c r="X18" s="183">
        <f t="shared" si="15"/>
        <v>7634</v>
      </c>
      <c r="Y18" s="183">
        <f t="shared" si="15"/>
        <v>0</v>
      </c>
      <c r="Z18" s="183">
        <f t="shared" si="15"/>
        <v>0</v>
      </c>
      <c r="AA18" s="183">
        <f t="shared" si="15"/>
        <v>0</v>
      </c>
      <c r="AB18" s="183">
        <f t="shared" si="15"/>
        <v>0</v>
      </c>
      <c r="AC18" s="183">
        <f t="shared" si="15"/>
        <v>18</v>
      </c>
      <c r="AD18" s="183">
        <f t="shared" si="15"/>
        <v>13</v>
      </c>
      <c r="AE18" s="183">
        <f t="shared" si="15"/>
        <v>13</v>
      </c>
      <c r="AF18" s="183">
        <f t="shared" si="15"/>
        <v>18</v>
      </c>
      <c r="AG18" s="183">
        <f t="shared" si="15"/>
        <v>0</v>
      </c>
      <c r="AH18" s="183">
        <f t="shared" si="15"/>
        <v>0</v>
      </c>
      <c r="AI18" s="183">
        <f t="shared" si="15"/>
        <v>0</v>
      </c>
      <c r="AJ18" s="183">
        <f t="shared" si="15"/>
        <v>0</v>
      </c>
      <c r="AK18" s="183">
        <f t="shared" si="15"/>
        <v>18</v>
      </c>
      <c r="AL18" s="183">
        <f t="shared" si="15"/>
        <v>9</v>
      </c>
      <c r="AM18" s="183">
        <f t="shared" si="15"/>
        <v>9</v>
      </c>
      <c r="AN18" s="183">
        <f t="shared" si="15"/>
        <v>18</v>
      </c>
      <c r="AO18" s="183">
        <f t="shared" si="15"/>
        <v>9</v>
      </c>
      <c r="AP18" s="183">
        <f t="shared" si="15"/>
        <v>9</v>
      </c>
      <c r="AQ18" s="183">
        <f t="shared" si="15"/>
        <v>9</v>
      </c>
      <c r="AR18" s="183">
        <f t="shared" si="15"/>
        <v>9</v>
      </c>
      <c r="AS18" s="183">
        <f t="shared" si="15"/>
        <v>0</v>
      </c>
      <c r="AT18" s="183">
        <f t="shared" si="15"/>
        <v>0</v>
      </c>
      <c r="AU18" s="203"/>
      <c r="AV18" s="132"/>
      <c r="AW18" s="203"/>
      <c r="AX18" s="132"/>
      <c r="AY18" s="183">
        <f>SUBTOTAL(9,AY14:AY17)</f>
        <v>1753</v>
      </c>
      <c r="AZ18" s="183">
        <f>SUBTOTAL(9,AZ14:AZ17)</f>
        <v>11689</v>
      </c>
      <c r="BA18" s="183">
        <f>SUBTOTAL(9,BA14:BA17)</f>
        <v>11625</v>
      </c>
      <c r="BB18" s="183">
        <f>SUBTOTAL(9,BB14:BB17)</f>
        <v>2088</v>
      </c>
      <c r="BC18" s="183">
        <f>SUBTOTAL(9,BC14:BC17)</f>
        <v>1318</v>
      </c>
      <c r="BD18" s="204">
        <f>IF(ISNUMBER(BA18/AZ18),BA18/AZ18," - ")</f>
        <v>0.99452476687483959</v>
      </c>
      <c r="BE18" s="205">
        <f>IF(ISNUMBER(BB18/BA18),BB18/BA18, " - ")</f>
        <v>0.17961290322580645</v>
      </c>
      <c r="BF18" s="205">
        <f>IF(ISNUMBER(BC18/BA18),BC18/BA18, " - ")</f>
        <v>0.1133763440860215</v>
      </c>
      <c r="BG18" s="206">
        <f>IF(ISNUMBER((AY18+AZ18)/BA18),(AY18+AZ18)/BA18," - ")</f>
        <v>1.1563010752688172</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8347</v>
      </c>
      <c r="J19" s="134">
        <f t="shared" si="18"/>
        <v>20805</v>
      </c>
      <c r="K19" s="134">
        <f t="shared" si="18"/>
        <v>21478</v>
      </c>
      <c r="L19" s="134">
        <f t="shared" si="18"/>
        <v>8046</v>
      </c>
      <c r="M19" s="134">
        <f t="shared" si="18"/>
        <v>3506</v>
      </c>
      <c r="N19" s="134">
        <f t="shared" si="18"/>
        <v>13936</v>
      </c>
      <c r="O19" s="134">
        <f t="shared" si="18"/>
        <v>2670</v>
      </c>
      <c r="P19" s="134">
        <f t="shared" si="18"/>
        <v>2522</v>
      </c>
      <c r="Q19" s="134">
        <f t="shared" si="18"/>
        <v>2578</v>
      </c>
      <c r="R19" s="134">
        <f t="shared" si="18"/>
        <v>8131</v>
      </c>
      <c r="S19" s="134">
        <f t="shared" si="18"/>
        <v>6475</v>
      </c>
      <c r="T19" s="134">
        <f t="shared" si="18"/>
        <v>23061</v>
      </c>
      <c r="U19" s="134">
        <f t="shared" si="18"/>
        <v>21468</v>
      </c>
      <c r="V19" s="134">
        <f t="shared" si="18"/>
        <v>8347</v>
      </c>
      <c r="W19" s="134">
        <f t="shared" si="18"/>
        <v>3054</v>
      </c>
      <c r="X19" s="134">
        <f t="shared" si="18"/>
        <v>14106</v>
      </c>
      <c r="Y19" s="134">
        <f t="shared" si="18"/>
        <v>178</v>
      </c>
      <c r="Z19" s="134">
        <f t="shared" si="18"/>
        <v>789</v>
      </c>
      <c r="AA19" s="134">
        <f t="shared" si="18"/>
        <v>738</v>
      </c>
      <c r="AB19" s="134">
        <f t="shared" si="18"/>
        <v>228</v>
      </c>
      <c r="AC19" s="134">
        <f t="shared" si="18"/>
        <v>18</v>
      </c>
      <c r="AD19" s="134">
        <f t="shared" si="18"/>
        <v>13</v>
      </c>
      <c r="AE19" s="134">
        <f t="shared" si="18"/>
        <v>13</v>
      </c>
      <c r="AF19" s="134">
        <f t="shared" si="18"/>
        <v>18</v>
      </c>
      <c r="AG19" s="134">
        <f t="shared" si="18"/>
        <v>204</v>
      </c>
      <c r="AH19" s="134">
        <f t="shared" si="18"/>
        <v>660</v>
      </c>
      <c r="AI19" s="134">
        <f t="shared" si="18"/>
        <v>691</v>
      </c>
      <c r="AJ19" s="134">
        <f t="shared" si="18"/>
        <v>178</v>
      </c>
      <c r="AK19" s="134">
        <f t="shared" si="18"/>
        <v>18</v>
      </c>
      <c r="AL19" s="134">
        <f t="shared" si="18"/>
        <v>9</v>
      </c>
      <c r="AM19" s="134">
        <f t="shared" si="18"/>
        <v>9</v>
      </c>
      <c r="AN19" s="209">
        <f t="shared" si="18"/>
        <v>18</v>
      </c>
      <c r="AO19" s="210">
        <v>9</v>
      </c>
      <c r="AP19" s="210">
        <v>9</v>
      </c>
      <c r="AQ19" s="210">
        <v>9</v>
      </c>
      <c r="AR19" s="210">
        <v>9</v>
      </c>
      <c r="AS19" s="152">
        <f t="shared" si="18"/>
        <v>0</v>
      </c>
      <c r="AT19" s="152">
        <f t="shared" si="18"/>
        <v>0</v>
      </c>
      <c r="AU19" s="210"/>
      <c r="AV19" s="211"/>
      <c r="AW19" s="210"/>
      <c r="AX19" s="211"/>
      <c r="AY19" s="133">
        <f>SUBTOTAL(9,AY9:AY18)</f>
        <v>6679</v>
      </c>
      <c r="AZ19" s="134">
        <f>SUBTOTAL(9,AZ9:AZ18)</f>
        <v>23721</v>
      </c>
      <c r="BA19" s="134">
        <f>SUBTOTAL(9,BA9:BA18)</f>
        <v>22159</v>
      </c>
      <c r="BB19" s="134">
        <f>SUBTOTAL(9,BB9:BB18)</f>
        <v>8525</v>
      </c>
      <c r="BC19" s="135">
        <f>SUBTOTAL(9,BC9:BC18)</f>
        <v>7777</v>
      </c>
      <c r="BD19" s="212">
        <f>IF(ISNUMBER(BA19/AZ19),BA19/AZ19," - ")</f>
        <v>0.93415117406517434</v>
      </c>
      <c r="BE19" s="209">
        <f>IF(ISNUMBER(BB19/BA19),BB19/BA19, " - ")</f>
        <v>0.38471952705446999</v>
      </c>
      <c r="BF19" s="209">
        <f>IF(ISNUMBER(BC19/BA19),BC19/BA19, " - ")</f>
        <v>0.35096349113227132</v>
      </c>
      <c r="BG19" s="135">
        <f>IF(ISNUMBER((AY19+AZ19)/BA19),(AY19+AZ19)/BA19," - ")</f>
        <v>1.3719030642176993</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EmrfNbc/kcncfNhupoq7UGmctcociRu6c2MiU14PIm4aO6RbiwPvt2CvtqOUaV5Ai+EASOUYUf0/Vss3ilPDA==" saltValue="HASb66iuYFP3LBXAcv+zr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XqVhwEEZGj8bL1A9DjBW6IWGG475hEi5nZeg+FTmOa3IZ0w9BBWKkhZV2wso4qoeDWdCUhJ9NlxCBxYsgrZg==" saltValue="DeEtzS4HUMaT8ksi8b9Bd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GETAFE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71</v>
      </c>
      <c r="G10" s="332">
        <f>IF(ISNUMBER(Datos!I10),Datos!I10," - ")</f>
        <v>71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126</v>
      </c>
      <c r="AC10" s="225">
        <f>IF(ISNUMBER(Datos!Q10),Datos!Q10," - ")</f>
        <v>14</v>
      </c>
      <c r="AD10" s="333"/>
      <c r="AE10" s="483"/>
      <c r="AF10" s="331">
        <f>IF(ISNUMBER(Datos!L10),Datos!L10,"-")</f>
        <v>111</v>
      </c>
      <c r="AG10" s="333"/>
      <c r="AH10" s="333"/>
      <c r="AI10" s="333"/>
      <c r="AJ10" s="333"/>
      <c r="AK10" s="333"/>
      <c r="AL10" s="478"/>
      <c r="AM10" s="334">
        <f>IF(ISNUMBER(Datos!R10),Datos!R10," - ")</f>
        <v>54</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42</v>
      </c>
      <c r="BD10" s="228">
        <f>IF(ISNUMBER(Datos!N10),Datos!N10," - ")</f>
        <v>56</v>
      </c>
      <c r="BE10" s="228" t="str">
        <f>IF(ISNUMBER(Datos!BW10),Datos!BW10," - ")</f>
        <v xml:space="preserve"> - </v>
      </c>
      <c r="BF10" s="227" t="str">
        <f>IF(ISNUMBER(Datos!BX10),Datos!BX10," - ")</f>
        <v xml:space="preserve"> - </v>
      </c>
      <c r="BG10" s="242">
        <f>IF(ISNUMBER(Datos!K10/Datos!J10),Datos!K10/Datos!J10," - ")</f>
        <v>0.75903614457831325</v>
      </c>
      <c r="BH10" s="259">
        <f>IF(ISNUMBER(((Datos!L10/Datos!K10)*11)/factor_trimestre),((Datos!L10/Datos!K10)*11)/factor_trimestre," - ")</f>
        <v>9.6904761904761898</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1.8867924528301886E-2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789</v>
      </c>
      <c r="O12" s="333"/>
      <c r="P12" s="333"/>
      <c r="Q12" s="225">
        <f>IF(ISNUMBER(Datos!P12),Datos!P12,0)</f>
        <v>1959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2020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228</v>
      </c>
      <c r="AI12" s="333" t="str">
        <f>IF(ISNUMBER(Datos!CD12),Datos!CD12,"-")</f>
        <v>-</v>
      </c>
      <c r="AJ12" s="333" t="str">
        <f>IF(ISNUMBER(Datos!EN12),Datos!EN12," - ")</f>
        <v xml:space="preserve"> - </v>
      </c>
      <c r="AK12" s="333"/>
      <c r="AL12" s="478"/>
      <c r="AM12" s="334">
        <f>IF(ISNUMBER(Datos!R12),Datos!R12," - ")</f>
        <v>7607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2064</v>
      </c>
      <c r="BD12" s="228">
        <f>IF(ISNUMBER(Datos!N12),Datos!N12," - ")</f>
        <v>6800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1.064373897707231</v>
      </c>
      <c r="BH12" s="259">
        <f>IF(ISNUMBER(((IF(J_V="SI",Datos!L12/Datos!K12,(Datos!L12+Datos!AB12)/(Datos!K12+Datos!AA12)))*11)/factor_trimestre),((IF(J_V="SI",Datos!L12/Datos!K12,(Datos!L12+Datos!AB12)/(Datos!K12+Datos!AA12)))*11)/factor_trimestre," - ")</f>
        <v>5.9045383411580588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-7.9551382368283768E-3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9</v>
      </c>
      <c r="F13" s="897">
        <f t="shared" si="0"/>
        <v>71</v>
      </c>
      <c r="G13" s="897">
        <f t="shared" si="0"/>
        <v>71</v>
      </c>
      <c r="H13" s="898">
        <f t="shared" si="0"/>
        <v>0</v>
      </c>
      <c r="I13" s="897">
        <f t="shared" si="0"/>
        <v>0</v>
      </c>
      <c r="J13" s="866">
        <f t="shared" si="0"/>
        <v>0</v>
      </c>
      <c r="K13" s="866">
        <f t="shared" si="0"/>
        <v>0</v>
      </c>
      <c r="L13" s="898">
        <f t="shared" si="0"/>
        <v>0</v>
      </c>
      <c r="M13" s="898">
        <f t="shared" si="0"/>
        <v>0</v>
      </c>
      <c r="N13" s="898">
        <f t="shared" si="0"/>
        <v>789</v>
      </c>
      <c r="O13" s="899">
        <f t="shared" si="0"/>
        <v>0</v>
      </c>
      <c r="P13" s="899">
        <f t="shared" si="0"/>
        <v>0</v>
      </c>
      <c r="Q13" s="898">
        <f t="shared" si="0"/>
        <v>1974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126</v>
      </c>
      <c r="AC13" s="898">
        <f t="shared" si="1"/>
        <v>2034</v>
      </c>
      <c r="AD13" s="898">
        <f t="shared" si="1"/>
        <v>0</v>
      </c>
      <c r="AE13" s="898">
        <f t="shared" si="1"/>
        <v>0</v>
      </c>
      <c r="AF13" s="898">
        <f t="shared" si="1"/>
        <v>111</v>
      </c>
      <c r="AG13" s="898">
        <f t="shared" si="1"/>
        <v>0</v>
      </c>
      <c r="AH13" s="898">
        <f t="shared" si="1"/>
        <v>228</v>
      </c>
      <c r="AI13" s="898">
        <f t="shared" si="1"/>
        <v>0</v>
      </c>
      <c r="AJ13" s="898">
        <f t="shared" si="1"/>
        <v>0</v>
      </c>
      <c r="AK13" s="898">
        <f t="shared" si="1"/>
        <v>0</v>
      </c>
      <c r="AL13" s="898">
        <f t="shared" si="1"/>
        <v>0</v>
      </c>
      <c r="AM13" s="898">
        <f t="shared" si="1"/>
        <v>7661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2106</v>
      </c>
      <c r="BD13" s="898">
        <f t="shared" si="1"/>
        <v>6856</v>
      </c>
      <c r="BE13" s="898">
        <f t="shared" si="1"/>
        <v>0</v>
      </c>
      <c r="BF13" s="898">
        <f t="shared" si="1"/>
        <v>0</v>
      </c>
      <c r="BG13" s="898">
        <f>IF(ISNUMBER(Datos!K13/Datos!J13),Datos!K13/Datos!J13," - ")</f>
        <v>1.0697067724094751</v>
      </c>
      <c r="BH13" s="902">
        <f>IF(ISNUMBER(((Datos!L13/Datos!K13)*11)/factor_trimestre),((Datos!L13/Datos!K13)*11)/factor_trimestre," - ")</f>
        <v>6.1314993659155208</v>
      </c>
      <c r="BI13" s="898">
        <f>IF(ISNUMBER('Resol  Asuntos'!D13/NºAsuntos!G13),'Resol  Asuntos'!D13/NºAsuntos!G13," - ")</f>
        <v>0.19164619164619165</v>
      </c>
      <c r="BJ13" s="898" t="str">
        <f>IF(ISNUMBER(Datos!CI13/Datos!CJ13),Datos!CI13/Datos!CJ13," - ")</f>
        <v xml:space="preserve"> - </v>
      </c>
      <c r="BK13" s="898">
        <f>SUBTOTAL(9,BK8:BK12)</f>
        <v>0</v>
      </c>
      <c r="BL13" s="898">
        <f>IF(ISNUMBER((I13-AB13+L13)/(F13)),(I13-AB13+L13)/(F13)," - ")</f>
        <v>-1.7746478873239437</v>
      </c>
      <c r="BM13" s="903">
        <f>SUBTOTAL(9,BM9:BM12)</f>
        <v>1.0912786291473509E-2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2207</v>
      </c>
      <c r="G16" s="597">
        <f>IF(ISNUMBER(IF(D_I="SI",Datos!I16,Datos!I16+Datos!AC16)),IF(D_I="SI",Datos!I16,Datos!I16+Datos!AC16)," - ")</f>
        <v>1965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540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9930</v>
      </c>
      <c r="AC16" s="225">
        <f>IF(ISNUMBER(Datos!Q16),Datos!Q16," - ")</f>
        <v>539</v>
      </c>
      <c r="AD16" s="333"/>
      <c r="AE16" s="483"/>
      <c r="AF16" s="595">
        <f>IF(ISNUMBER(IF(D_I="SI",Datos!L16,Datos!L16+Datos!AF16)),IF(D_I="SI",Datos!L16,Datos!L16+Datos!AF16)," - ")</f>
        <v>2155</v>
      </c>
      <c r="AG16" s="333"/>
      <c r="AH16" s="333"/>
      <c r="AI16" s="333"/>
      <c r="AJ16" s="333"/>
      <c r="AK16" s="333"/>
      <c r="AL16" s="478"/>
      <c r="AM16" s="334">
        <f>IF(ISNUMBER(Datos!R16),Datos!R16," - ")</f>
        <v>465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1331</v>
      </c>
      <c r="BD16" s="228">
        <f>IF(ISNUMBER(Datos!N16),Datos!N16," - ")</f>
        <v>6458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1.0052642235270297</v>
      </c>
      <c r="BH16" s="259">
        <f>IF(ISNUMBER(((IF(D_I="SI",Datos!L16/Datos!K16,(Datos!L16+Datos!AF16)/(Datos!K16+Datos!AE16)))*11)/factor_trimestre),((IF(D_I="SI",Datos!L16/Datos!K16,(Datos!L16+Datos!AF16)/(Datos!K16+Datos!AE16)))*11)/factor_trimestre," - ")</f>
        <v>2.3872104733131922</v>
      </c>
      <c r="BI16" s="242">
        <f>IF(ISNUMBER('Resol  Asuntos'!D16/NºAsuntos!G16),'Resol  Asuntos'!D16/NºAsuntos!G16," - ")</f>
        <v>0.13403826787512588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123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1297</v>
      </c>
      <c r="AC17" s="225">
        <f>IF(ISNUMBER(Datos!Q17),Datos!Q17," - ")</f>
        <v>5</v>
      </c>
      <c r="AD17" s="333"/>
      <c r="AE17" s="483"/>
      <c r="AF17" s="331">
        <f>IF(ISNUMBER(Datos!L17),Datos!L17,"-")</f>
        <v>177</v>
      </c>
      <c r="AG17" s="333"/>
      <c r="AH17" s="333"/>
      <c r="AI17" s="333"/>
      <c r="AJ17" s="333"/>
      <c r="AK17" s="333"/>
      <c r="AL17" s="478"/>
      <c r="AM17" s="334">
        <f>IF(ISNUMBER(Datos!R17),Datos!R17," - ")</f>
        <v>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69</v>
      </c>
      <c r="BD17" s="228">
        <f>IF(ISNUMBER(Datos!N17),Datos!N17," - ")</f>
        <v>622</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0.96502976190476186</v>
      </c>
      <c r="BH17" s="259">
        <f>IF(ISNUMBER(((IF(D_I="SI",Datos!L17/Datos!K17,(Datos!L17+Datos!AF17)/(Datos!K17+Datos!AE17)))*11)/factor_trimestre),((IF(D_I="SI",Datos!L17/Datos!K17,(Datos!L17+Datos!AF17)/(Datos!K17+Datos!AE17)))*11)/factor_trimestre," - ")</f>
        <v>1.5011565150346953</v>
      </c>
      <c r="BI17" s="242">
        <f>IF(ISNUMBER('Resol  Asuntos'!D17/NºAsuntos!G17),'Resol  Asuntos'!D17/NºAsuntos!G17," - ")</f>
        <v>5.319969159599075E-2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9</v>
      </c>
      <c r="F18" s="897">
        <f>SUBTOTAL(9,F15:F17)</f>
        <v>2207</v>
      </c>
      <c r="G18" s="897">
        <f>SUBTOTAL(9,G15:G17)</f>
        <v>2088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548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11227</v>
      </c>
      <c r="AC18" s="898">
        <f t="shared" si="4"/>
        <v>544</v>
      </c>
      <c r="AD18" s="898">
        <f t="shared" si="4"/>
        <v>0</v>
      </c>
      <c r="AE18" s="898">
        <f t="shared" si="4"/>
        <v>0</v>
      </c>
      <c r="AF18" s="898">
        <f t="shared" si="4"/>
        <v>2332</v>
      </c>
      <c r="AG18" s="898">
        <f t="shared" si="4"/>
        <v>0</v>
      </c>
      <c r="AH18" s="898">
        <f t="shared" si="4"/>
        <v>0</v>
      </c>
      <c r="AI18" s="898">
        <f t="shared" si="4"/>
        <v>0</v>
      </c>
      <c r="AJ18" s="898">
        <f t="shared" si="4"/>
        <v>0</v>
      </c>
      <c r="AK18" s="898">
        <f t="shared" si="4"/>
        <v>0</v>
      </c>
      <c r="AL18" s="898">
        <f t="shared" si="4"/>
        <v>0</v>
      </c>
      <c r="AM18" s="898">
        <f t="shared" si="4"/>
        <v>470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1400</v>
      </c>
      <c r="BD18" s="898">
        <f t="shared" si="4"/>
        <v>7080</v>
      </c>
      <c r="BE18" s="898">
        <f t="shared" si="4"/>
        <v>0</v>
      </c>
      <c r="BF18" s="898">
        <f t="shared" si="4"/>
        <v>0</v>
      </c>
      <c r="BG18" s="898">
        <f>IF(ISNUMBER(Datos!K18/Datos!J18),Datos!K18/Datos!J18," - ")</f>
        <v>1.0004455533772947</v>
      </c>
      <c r="BH18" s="902">
        <f>IF(ISNUMBER(((Datos!L18/Datos!K18)*11)/factor_trimestre),((Datos!L18/Datos!K18)*11)/factor_trimestre," - ")</f>
        <v>2.2848490246726643</v>
      </c>
      <c r="BI18" s="898">
        <f>SUBTOTAL(9,BI15:BI17)</f>
        <v>0.18723795947111663</v>
      </c>
      <c r="BJ18" s="898">
        <f>SUBTOTAL(9,BJ15:BJ17)</f>
        <v>0</v>
      </c>
      <c r="BK18" s="898">
        <f>SUBTOTAL(9,BK15:BK17)</f>
        <v>0</v>
      </c>
      <c r="BL18" s="898">
        <f>IF(ISNUMBER((I18-AB18+L18)/(F18)),(I18-AB18+L18)/(F18)," - ")</f>
        <v>-5.0869959220661531</v>
      </c>
      <c r="BM18" s="904">
        <f>IF(ISNUMBER((Datos!P18-Datos!Q18)/(Datos!R18-Datos!P18+Datos!Q18)),(Datos!P18-Datos!Q18)/(Datos!R18-Datos!P18+Datos!Q18)," - ")</f>
        <v>8.5836909871244635E-3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18</v>
      </c>
      <c r="F19" s="819">
        <f t="shared" si="6"/>
        <v>2278</v>
      </c>
      <c r="G19" s="819">
        <f t="shared" si="6"/>
        <v>2159</v>
      </c>
      <c r="H19" s="821">
        <f t="shared" si="6"/>
        <v>0</v>
      </c>
      <c r="I19" s="819">
        <f t="shared" si="6"/>
        <v>0</v>
      </c>
      <c r="J19" s="821">
        <f t="shared" si="6"/>
        <v>0</v>
      </c>
      <c r="K19" s="821">
        <f t="shared" si="6"/>
        <v>0</v>
      </c>
      <c r="L19" s="880">
        <f t="shared" si="6"/>
        <v>0</v>
      </c>
      <c r="M19" s="880">
        <f t="shared" si="6"/>
        <v>0</v>
      </c>
      <c r="N19" s="880">
        <f t="shared" si="6"/>
        <v>789</v>
      </c>
      <c r="O19" s="880">
        <f t="shared" si="6"/>
        <v>0</v>
      </c>
      <c r="P19" s="880">
        <f t="shared" si="6"/>
        <v>0</v>
      </c>
      <c r="Q19" s="821">
        <f t="shared" si="6"/>
        <v>2522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11353</v>
      </c>
      <c r="AC19" s="820">
        <f t="shared" si="7"/>
        <v>2578</v>
      </c>
      <c r="AD19" s="820">
        <f t="shared" si="7"/>
        <v>0</v>
      </c>
      <c r="AE19" s="820">
        <f t="shared" si="7"/>
        <v>0</v>
      </c>
      <c r="AF19" s="827">
        <f t="shared" si="7"/>
        <v>2443</v>
      </c>
      <c r="AG19" s="827">
        <f t="shared" si="7"/>
        <v>0</v>
      </c>
      <c r="AH19" s="827">
        <f t="shared" si="7"/>
        <v>228</v>
      </c>
      <c r="AI19" s="827">
        <f t="shared" si="7"/>
        <v>0</v>
      </c>
      <c r="AJ19" s="820">
        <f t="shared" si="7"/>
        <v>0</v>
      </c>
      <c r="AK19" s="827">
        <f t="shared" si="7"/>
        <v>0</v>
      </c>
      <c r="AL19" s="827">
        <f t="shared" si="7"/>
        <v>0</v>
      </c>
      <c r="AM19" s="827">
        <f t="shared" si="7"/>
        <v>8131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3506</v>
      </c>
      <c r="BD19" s="819">
        <f t="shared" si="7"/>
        <v>13936</v>
      </c>
      <c r="BE19" s="819">
        <f t="shared" si="7"/>
        <v>0</v>
      </c>
      <c r="BF19" s="829">
        <f t="shared" si="7"/>
        <v>0</v>
      </c>
      <c r="BG19" s="914">
        <f>IF(ISNUMBER(Datos!K19/Datos!J19),Datos!K19/Datos!J19," - ")</f>
        <v>1.0323479932708484</v>
      </c>
      <c r="BH19" s="914">
        <f>IF(ISNUMBER(((Datos!L19/Datos!K19)*11)/factor_trimestre),((Datos!L19/Datos!K19)*11)/factor_trimestre," - ")</f>
        <v>4.1207747462519793</v>
      </c>
      <c r="BI19" s="812">
        <f>IF(ISNUMBER(Datos!J19/Datos!I19),Datos!J19/Datos!I19," - ")</f>
        <v>2.4925122798610277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-4.9837576821773482</v>
      </c>
      <c r="BM19" s="888">
        <f>IF(ISNUMBER((Datos!P19-Datos!Q19+R19)/(Datos!R19-Datos!P19+Datos!Q19-R19)),(Datos!P19-Datos!Q19+R19)/(Datos!R19-Datos!P19+Datos!Q19-R19)," - ")</f>
        <v>-6.8401123732747034E-3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863.6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4.3011626335213133</v>
      </c>
      <c r="F21" s="550">
        <f>IF(ISNUMBER(STDEV(F8:F18)),STDEV(F8:F18),"-")</f>
        <v>1233.2201749890407</v>
      </c>
      <c r="G21" s="551">
        <f>IF(ISNUMBER(STDEV(G8:G18)),STDEV(G8:G18),"-")</f>
        <v>1062.68000828095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5550.9436765292439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920.73094151693772</v>
      </c>
      <c r="BD21" s="550"/>
      <c r="BE21" s="550">
        <f>IF(ISNUMBER(STDEV(BE8:BE18)),STDEV(BE8:BE18),"-")</f>
        <v>0</v>
      </c>
      <c r="BF21" s="555">
        <f>IF(ISNUMBER(STDEV(BF8:BF18)),STDEV(BF8:BF18),"-")</f>
        <v>0</v>
      </c>
      <c r="BG21" s="774">
        <f>IF(ISNUMBER(STDEV(BG8:BG18)),STDEV(BG8:BG18),"-")</f>
        <v>0.1142175629969768</v>
      </c>
      <c r="BH21" s="775">
        <f>IF(ISNUMBER(STDEV(BH8:BH18)),STDEV(BH8:BH18),"-")</f>
        <v>3.1560886523108587</v>
      </c>
      <c r="BI21" s="248">
        <f>IF(ISNUMBER(STDEV(BI8:BI18)),STDEV(BI8:BI18),"-")</f>
        <v>6.4444342022129619E-2</v>
      </c>
      <c r="BJ21" s="229" t="str">
        <f>IF(ISNUMBER(BL21/BM21),BL21/BM21," - ")</f>
        <v xml:space="preserve"> - </v>
      </c>
      <c r="BK21" s="574"/>
      <c r="BL21" s="558">
        <f>IF(ISNUMBER(STDEV(BL8:BL18)),STDEV(BL8:BL18),"-")</f>
        <v>2.3421837570161506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RjgCx00RUaoFu6WK0g4dD1n6sES6lWl3asB26HQ3626QOVkViVroRoIEabxsCJXUBpaC+Bj0WgTuJZIecF6cxQ==" saltValue="PdCkps7eg69/Tbd6Srni9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GETAFE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71</v>
      </c>
      <c r="G10" s="224">
        <f>IF(ISNUMBER(Datos!I10),Datos!I10," - ")</f>
        <v>71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126</v>
      </c>
      <c r="Z10" s="618">
        <f>IF(ISNUMBER(Datos!Q10),Datos!Q10," - ")</f>
        <v>14</v>
      </c>
      <c r="AA10" s="331">
        <f>IF(ISNUMBER(Datos!L10),Datos!L10,"-")</f>
        <v>111</v>
      </c>
      <c r="AB10" s="333"/>
      <c r="AC10" s="333"/>
      <c r="AD10" s="483"/>
      <c r="AE10" s="483">
        <f>IF(ISNUMBER(Datos!R10),Datos!R10," - ")</f>
        <v>54</v>
      </c>
      <c r="AF10" s="228" t="str">
        <f>IF(ISNUMBER(Datos!BV10),Datos!BV10," - ")</f>
        <v xml:space="preserve"> - </v>
      </c>
      <c r="AG10" s="224" t="str">
        <f>IF(ISNUMBER(Datos!DV10),Datos!DV10," - ")</f>
        <v xml:space="preserve"> - </v>
      </c>
      <c r="AH10" s="297"/>
      <c r="AI10" s="226"/>
      <c r="AJ10" s="224">
        <f>IF(ISNUMBER(Datos!M10),Datos!M10," - ")</f>
        <v>42</v>
      </c>
      <c r="AK10" s="228">
        <f>IF(ISNUMBER(Datos!N10),Datos!N10," - ")</f>
        <v>56</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9.6904761904761898</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1.8867924528301886E-2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1959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2020</v>
      </c>
      <c r="AA12" s="331" t="str">
        <f>IF(ISNUMBER(IF(J_V="SI",Datos!L12,Datos!L12+Datos!AB12)-IF(Monitorios="SI",Datos!CD12,0)),
                          IF(J_V="SI",Datos!L12,Datos!L12+Datos!AB12)-IF(Monitorios="SI",Datos!CD12,0),
                          " - ")</f>
        <v xml:space="preserve"> - </v>
      </c>
      <c r="AB12" s="333"/>
      <c r="AC12" s="333"/>
      <c r="AD12" s="483"/>
      <c r="AE12" s="483">
        <f>IF(ISNUMBER(Datos!R12),Datos!R12," - ")</f>
        <v>7607</v>
      </c>
      <c r="AF12" s="228" t="str">
        <f>IF(ISNUMBER(Datos!BV12),Datos!BV12," - ")</f>
        <v xml:space="preserve"> - </v>
      </c>
      <c r="AG12" s="224" t="str">
        <f>IF(ISNUMBER(Datos!DV12),Datos!DV12," - ")</f>
        <v xml:space="preserve"> - </v>
      </c>
      <c r="AH12" s="297"/>
      <c r="AI12" s="226"/>
      <c r="AJ12" s="224">
        <f>IF(ISNUMBER(Datos!M12),Datos!M12," - ")</f>
        <v>2064</v>
      </c>
      <c r="AK12" s="228">
        <f>IF(ISNUMBER(Datos!N12),Datos!N12," - ")</f>
        <v>6800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5.9045383411580588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-7.9551382368283768E-3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9</v>
      </c>
      <c r="F13" s="897">
        <f>SUBTOTAL(9,F8:F12)</f>
        <v>71</v>
      </c>
      <c r="G13" s="897">
        <f>SUBTOTAL(9,G8:G12)</f>
        <v>71</v>
      </c>
      <c r="H13" s="907"/>
      <c r="I13" s="897">
        <f t="shared" ref="I13:N13" si="0">SUBTOTAL(9,I8:I12)</f>
        <v>0</v>
      </c>
      <c r="J13" s="866">
        <f t="shared" si="0"/>
        <v>0</v>
      </c>
      <c r="K13" s="907">
        <f t="shared" si="0"/>
        <v>0</v>
      </c>
      <c r="L13" s="907">
        <f t="shared" si="0"/>
        <v>0</v>
      </c>
      <c r="M13" s="907">
        <f t="shared" si="0"/>
        <v>0</v>
      </c>
      <c r="N13" s="907">
        <f t="shared" si="0"/>
        <v>1974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126</v>
      </c>
      <c r="Z13" s="906">
        <f t="shared" si="2"/>
        <v>2034</v>
      </c>
      <c r="AA13" s="899">
        <f t="shared" si="2"/>
        <v>111</v>
      </c>
      <c r="AB13" s="899">
        <f t="shared" si="2"/>
        <v>0</v>
      </c>
      <c r="AC13" s="899">
        <f t="shared" si="2"/>
        <v>0</v>
      </c>
      <c r="AD13" s="899">
        <f t="shared" si="2"/>
        <v>0</v>
      </c>
      <c r="AE13" s="899">
        <f t="shared" si="2"/>
        <v>7661</v>
      </c>
      <c r="AF13" s="907">
        <f t="shared" si="2"/>
        <v>0</v>
      </c>
      <c r="AG13" s="907">
        <f t="shared" si="2"/>
        <v>0</v>
      </c>
      <c r="AH13" s="907">
        <f t="shared" si="2"/>
        <v>0</v>
      </c>
      <c r="AI13" s="907">
        <f t="shared" si="2"/>
        <v>0</v>
      </c>
      <c r="AJ13" s="907">
        <f t="shared" si="2"/>
        <v>2106</v>
      </c>
      <c r="AK13" s="907">
        <f t="shared" si="2"/>
        <v>6856</v>
      </c>
      <c r="AL13" s="907">
        <f t="shared" si="2"/>
        <v>0</v>
      </c>
      <c r="AM13" s="907">
        <f t="shared" si="2"/>
        <v>0</v>
      </c>
      <c r="AN13" s="907">
        <f t="shared" si="2"/>
        <v>0</v>
      </c>
      <c r="AO13" s="903">
        <f>IF(ISNUMBER(((NºAsuntos!I13/NºAsuntos!G13)*11)/factor_trimestre),((NºAsuntos!I13/NºAsuntos!G13)*11)/factor_trimestre," - ")</f>
        <v>5.9479479479479469</v>
      </c>
      <c r="AP13" s="909" t="str">
        <f>IF(ISNUMBER(Datos!CI13/Datos!CJ13),Datos!CI13/Datos!CJ13," - ")</f>
        <v xml:space="preserve"> - </v>
      </c>
      <c r="AQ13" s="927">
        <f t="shared" ref="AQ13:AV13" si="3">SUBTOTAL(9,AQ9:AQ12)</f>
        <v>0</v>
      </c>
      <c r="AR13" s="927">
        <f t="shared" si="3"/>
        <v>1.0912786291473509E-2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2207</v>
      </c>
      <c r="G16" s="224">
        <f>IF(ISNUMBER(IF(D_I="SI",Datos!I16,Datos!I16+Datos!AC16)),IF(D_I="SI",Datos!I16,Datos!I16+Datos!AC16)," - ")</f>
        <v>1965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540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9930</v>
      </c>
      <c r="Z16" s="618">
        <f>IF(ISNUMBER(Datos!Q16),Datos!Q16," - ")</f>
        <v>539</v>
      </c>
      <c r="AA16" s="331">
        <f>IF(ISNUMBER(IF(D_I="SI",Datos!L16,Datos!L16+Datos!AF16)),IF(D_I="SI",Datos!L16,Datos!L16+Datos!AF16)," - ")</f>
        <v>2155</v>
      </c>
      <c r="AB16" s="333"/>
      <c r="AC16" s="333"/>
      <c r="AD16" s="483"/>
      <c r="AE16" s="483">
        <f>IF(ISNUMBER(Datos!R16),Datos!R16," - ")</f>
        <v>465</v>
      </c>
      <c r="AF16" s="228" t="str">
        <f>IF(ISNUMBER(Datos!BV16),Datos!BV16," - ")</f>
        <v xml:space="preserve"> - </v>
      </c>
      <c r="AG16" s="224"/>
      <c r="AH16" s="297"/>
      <c r="AI16" s="226"/>
      <c r="AJ16" s="224">
        <f>IF(ISNUMBER(Datos!M16),Datos!M16," - ")</f>
        <v>1331</v>
      </c>
      <c r="AK16" s="228">
        <f>IF(ISNUMBER(Datos!N16),Datos!N16," - ")</f>
        <v>6458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2.3872104733131922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123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1297</v>
      </c>
      <c r="Z17" s="618">
        <f>IF(ISNUMBER(Datos!Q17),Datos!Q17," - ")</f>
        <v>5</v>
      </c>
      <c r="AA17" s="331">
        <f>IF(ISNUMBER(Datos!L17),Datos!L17,"-")</f>
        <v>177</v>
      </c>
      <c r="AB17" s="333"/>
      <c r="AC17" s="333"/>
      <c r="AD17" s="483"/>
      <c r="AE17" s="483">
        <f>IF(ISNUMBER(Datos!R17),Datos!R17," - ")</f>
        <v>5</v>
      </c>
      <c r="AF17" s="228" t="str">
        <f>IF(ISNUMBER(Datos!BV17),Datos!BV17," - ")</f>
        <v xml:space="preserve"> - </v>
      </c>
      <c r="AG17" s="224" t="str">
        <f>IF(ISNUMBER(Datos!DV17),Datos!DV17," - ")</f>
        <v xml:space="preserve"> - </v>
      </c>
      <c r="AH17" s="297"/>
      <c r="AI17" s="226"/>
      <c r="AJ17" s="224">
        <f>IF(ISNUMBER(Datos!M17),Datos!M17," - ")</f>
        <v>69</v>
      </c>
      <c r="AK17" s="228">
        <f>IF(ISNUMBER(Datos!N17),Datos!N17," - ")</f>
        <v>622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1.5011565150346953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9</v>
      </c>
      <c r="F18" s="897">
        <f>SUBTOTAL(9,F15:F17)</f>
        <v>2207</v>
      </c>
      <c r="G18" s="897">
        <f>SUBTOTAL(9,G15:G17)</f>
        <v>2088</v>
      </c>
      <c r="H18" s="931">
        <f>SUBTOTAL(9,H15:H17)</f>
        <v>0</v>
      </c>
      <c r="I18" s="910">
        <f>SUBTOTAL(9,I15:I17)</f>
        <v>0</v>
      </c>
      <c r="J18" s="866">
        <f>SUBTOTAL(9,J14:J17)</f>
        <v>0</v>
      </c>
      <c r="K18" s="931">
        <f t="shared" ref="K18:S18" si="4">SUBTOTAL(9,K15:K17)</f>
        <v>0</v>
      </c>
      <c r="L18" s="931">
        <f t="shared" si="4"/>
        <v>0</v>
      </c>
      <c r="M18" s="931">
        <f t="shared" si="4"/>
        <v>0</v>
      </c>
      <c r="N18" s="931">
        <f t="shared" si="4"/>
        <v>548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11227</v>
      </c>
      <c r="Z18" s="931">
        <f t="shared" si="5"/>
        <v>544</v>
      </c>
      <c r="AA18" s="931">
        <f t="shared" si="5"/>
        <v>2332</v>
      </c>
      <c r="AB18" s="931">
        <f t="shared" si="5"/>
        <v>0</v>
      </c>
      <c r="AC18" s="931">
        <f t="shared" si="5"/>
        <v>0</v>
      </c>
      <c r="AD18" s="931">
        <f t="shared" si="5"/>
        <v>0</v>
      </c>
      <c r="AE18" s="931">
        <f t="shared" si="5"/>
        <v>470</v>
      </c>
      <c r="AF18" s="931">
        <f t="shared" si="5"/>
        <v>0</v>
      </c>
      <c r="AG18" s="931">
        <f t="shared" si="5"/>
        <v>0</v>
      </c>
      <c r="AH18" s="931">
        <f t="shared" si="5"/>
        <v>0</v>
      </c>
      <c r="AI18" s="931">
        <f t="shared" si="5"/>
        <v>0</v>
      </c>
      <c r="AJ18" s="931">
        <f t="shared" si="5"/>
        <v>1400</v>
      </c>
      <c r="AK18" s="931">
        <f t="shared" si="5"/>
        <v>7080</v>
      </c>
      <c r="AL18" s="931">
        <f t="shared" si="5"/>
        <v>0</v>
      </c>
      <c r="AM18" s="931">
        <f t="shared" si="5"/>
        <v>0</v>
      </c>
      <c r="AN18" s="931">
        <f t="shared" si="5"/>
        <v>0</v>
      </c>
      <c r="AO18" s="933">
        <f>IF(ISNUMBER(((NºAsuntos!I18/NºAsuntos!G18)*11)/factor_trimestre),((NºAsuntos!I18/NºAsuntos!G18)*11)/factor_trimestre," - ")</f>
        <v>2.2848490246726643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2278</v>
      </c>
      <c r="G19" s="819">
        <f t="shared" si="7"/>
        <v>2159</v>
      </c>
      <c r="H19" s="820">
        <f t="shared" si="7"/>
        <v>0</v>
      </c>
      <c r="I19" s="819">
        <f t="shared" si="7"/>
        <v>0</v>
      </c>
      <c r="J19" s="821">
        <f t="shared" si="7"/>
        <v>0</v>
      </c>
      <c r="K19" s="819">
        <f t="shared" si="7"/>
        <v>0</v>
      </c>
      <c r="L19" s="822">
        <f t="shared" si="7"/>
        <v>0</v>
      </c>
      <c r="M19" s="819">
        <f t="shared" si="7"/>
        <v>0</v>
      </c>
      <c r="N19" s="820">
        <f t="shared" si="7"/>
        <v>2522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11353</v>
      </c>
      <c r="Z19" s="826">
        <f t="shared" si="8"/>
        <v>2578</v>
      </c>
      <c r="AA19" s="827">
        <f t="shared" si="8"/>
        <v>2443</v>
      </c>
      <c r="AB19" s="827">
        <f t="shared" si="8"/>
        <v>0</v>
      </c>
      <c r="AC19" s="827">
        <f t="shared" si="8"/>
        <v>0</v>
      </c>
      <c r="AD19" s="828">
        <f t="shared" si="8"/>
        <v>0</v>
      </c>
      <c r="AE19" s="828">
        <f t="shared" si="8"/>
        <v>8131</v>
      </c>
      <c r="AF19" s="829">
        <f t="shared" si="8"/>
        <v>0</v>
      </c>
      <c r="AG19" s="830">
        <f t="shared" si="8"/>
        <v>0</v>
      </c>
      <c r="AH19" s="831">
        <f t="shared" si="8"/>
        <v>0</v>
      </c>
      <c r="AI19" s="829">
        <f t="shared" si="8"/>
        <v>0</v>
      </c>
      <c r="AJ19" s="819">
        <f t="shared" si="8"/>
        <v>3506</v>
      </c>
      <c r="AK19" s="819">
        <f t="shared" si="8"/>
        <v>13936</v>
      </c>
      <c r="AL19" s="819">
        <f t="shared" si="8"/>
        <v>0</v>
      </c>
      <c r="AM19" s="832">
        <f t="shared" si="8"/>
        <v>0</v>
      </c>
      <c r="AN19" s="822">
        <f>IF(ISNUMBER(Datos!K19/Datos!J19),Datos!K19/Datos!J19," - ")</f>
        <v>1.0323479932708484</v>
      </c>
      <c r="AO19" s="822">
        <f>IF(ISNUMBER(FIND("06",Criterios!A8,1)),(IF(ISNUMBER(((Datos!R19/Datos!Q19)*11)/factor_trimestre),((Datos!R19/Datos!Q19)*11)/factor_trimestre," - ")),(IF(ISNUMBER(((Datos!L19/Datos!K19)*11)/factor_trimestre),((Datos!L19/Datos!K19)*11)/factor_trimestre," - ")))</f>
        <v>4.1207747462519793</v>
      </c>
      <c r="AP19" s="833" t="str">
        <f>IF(ISNUMBER(Datos!CI19/Datos!CJ19),Datos!CI19/Datos!CJ19," - ")</f>
        <v xml:space="preserve"> - </v>
      </c>
      <c r="AQ19" s="833">
        <f>IF(OR(ISNUMBER(FIND("01",Criterios!A8,1)),ISNUMBER(FIND("02",Criterios!A8,1)),ISNUMBER(FIND("03",Criterios!A8,1)),ISNUMBER(FIND("04",Criterios!A8,1))),(J19-Y19+K19)/(F19-K19),(I19-Y19+K19)/(F19-K19))</f>
        <v>-4.9837576821773482</v>
      </c>
      <c r="AR19" s="833">
        <f>IF(ISNUMBER((Datos!P19-Datos!Q19+O19)/(Datos!R19-Datos!P19+Datos!Q19-O19)),(Datos!P19-Datos!Q19+O19)/(Datos!R19-Datos!P19+Datos!Q19-O19)," - ")</f>
        <v>-6.8401123732747034E-3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863.6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1233.2201749890407</v>
      </c>
      <c r="G21" s="551">
        <f>IF(ISNUMBER(STDEV(G8:G18)),STDEV(G8:G18),"-")</f>
        <v>1062.68000828095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920.73094151693772</v>
      </c>
      <c r="AK21" s="251"/>
      <c r="AL21" s="251">
        <f>IF(ISNUMBER(STDEV(AL8:AL18)),STDEV(AL8:AL18),"-")</f>
        <v>0</v>
      </c>
      <c r="AM21" s="253">
        <f>IF(ISNUMBER(STDEV(AM8:AM18)),STDEV(AM8:AM18),"-")</f>
        <v>0</v>
      </c>
      <c r="AN21" s="538">
        <f>IF(ISNUMBER(STDEV(AN8:AN18)),STDEV(AN8:AN18),"-")</f>
        <v>0</v>
      </c>
      <c r="AO21" s="539">
        <f>IF(ISNUMBER(STDEV(AO8:AO18)),STDEV(AO8:AO18),"-")</f>
        <v>3.1397030018244974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eNy9m6qB52uY/oivm8f1qnB2FEJf1bQ3SzHN7pslgCu3l78X4x67ACHzTIeOVIM93aHKBzhuf+gVyjCVtyYz7A==" saltValue="s/mWMZgkYlFRKAQEQr6X8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Rn4+8wKS4dO6s6sXq1/QgtAnCSzbGRvoUfjRyBLdv+OiY4uGqTeo0/xozIbne4Ceo9bfcYM0zKCJCNAtDKw7gg==" saltValue="JqRIvkin1OdF0YrNmKeR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pJ2MN3+ysiqi+a5W7oabL5RJsNv1CO+GjIETVw0g1T6zbtLqs6QozBr8awnpTOiCUiWNp2WABmNfMwJpExt4Q==" saltValue="MhM+7T0bxzTbmWVSgyukc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GETAFE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0.19164619164619165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0.1355143217015988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JgXzJ0S0r1SrtUc4oVrXlbv/pIq/dsInc6xXP8e63GrajVfrqgg17VSM5Obncs5a3D3A7ICOnr/QB+T2Vz6sVA==" saltValue="3RZE3bAfXuHgxVuo2XrI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6unQy1XxecBTqrMwfM0CrUoHtcVgEyeQrdaupFTnePcuw3kquUdwA2ZJV8sCuEhezKxRI/c8gcK5+y7XxNnocw==" saltValue="mci1k0JUOrVlLTfwQ0jr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GETAFE</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71</v>
      </c>
      <c r="D10" s="403">
        <f>IF(ISNUMBER(C10/Datos!BH10),C10/Datos!BH10," - ")</f>
        <v>71</v>
      </c>
      <c r="E10" s="402">
        <f>IF(ISNUMBER(Datos!J10),Datos!J10," - ")</f>
        <v>166</v>
      </c>
      <c r="F10" s="403">
        <f>IF(ISNUMBER(E10/B10),E10/B10," - ")</f>
        <v>166</v>
      </c>
      <c r="G10" s="402">
        <f>IF(ISNUMBER(Datos!K10),Datos!K10," - ")</f>
        <v>126</v>
      </c>
      <c r="H10" s="403">
        <f>IF(ISNUMBER(G10/B10),G10/B10," - ")</f>
        <v>126</v>
      </c>
      <c r="I10" s="402">
        <f>IF(ISNUMBER(Datos!L10),Datos!L10," - ")</f>
        <v>111</v>
      </c>
      <c r="J10" s="403">
        <f>IF(ISNUMBER(I10/B10),I10/B10," - ")</f>
        <v>111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6366</v>
      </c>
      <c r="D12" s="403">
        <f>IF(ISNUMBER(C12/Datos!BH12),C12/Datos!BH12," - ")</f>
        <v>795.75</v>
      </c>
      <c r="E12" s="402">
        <f>IF(ISNUMBER(IF(J_V="SI",Datos!J12,Datos!J12+Datos!Z12)),IF(J_V="SI",Datos!J12,Datos!J12+Datos!Z12)," - ")</f>
        <v>10206</v>
      </c>
      <c r="F12" s="403">
        <f>IF(ISNUMBER(E12/B12),E12/B12," - ")</f>
        <v>1275.75</v>
      </c>
      <c r="G12" s="402">
        <f>IF(ISNUMBER(IF(J_V="SI",Datos!K12,Datos!K12+Datos!AA12)),IF(J_V="SI",Datos!K12,Datos!K12+Datos!AA12)," - ")</f>
        <v>10863</v>
      </c>
      <c r="H12" s="403">
        <f>IF(ISNUMBER(G12/B12),G12/B12," - ")</f>
        <v>1357.875</v>
      </c>
      <c r="I12" s="402">
        <f>IF(ISNUMBER(IF(J_V="SI",Datos!L12,Datos!L12+Datos!AB12)),IF(J_V="SI",Datos!L12,Datos!L12+Datos!AB12)," - ")</f>
        <v>5831</v>
      </c>
      <c r="J12" s="403">
        <f>IF(ISNUMBER(I12/B12),I12/B12," - ")</f>
        <v>728.875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6437</v>
      </c>
      <c r="D13" s="849" t="str">
        <f>IF(ISNUMBER(C13/Datos!BI13),C13/Datos!BI13," - ")</f>
        <v xml:space="preserve"> - </v>
      </c>
      <c r="E13" s="848">
        <f>SUBTOTAL(9,E8:E12)</f>
        <v>10372</v>
      </c>
      <c r="F13" s="849">
        <f>IF(ISNUMBER(E13/B13),E13/B13," - ")</f>
        <v>1152.4444444444443</v>
      </c>
      <c r="G13" s="848">
        <f>SUBTOTAL(9,G8:G12)</f>
        <v>10989</v>
      </c>
      <c r="H13" s="849">
        <f>IF(ISNUMBER(G13/B13),G13/B13," - ")</f>
        <v>1221</v>
      </c>
      <c r="I13" s="848">
        <f>SUBTOTAL(9,I8:I12)</f>
        <v>5942</v>
      </c>
      <c r="J13" s="849">
        <f>IF(ISNUMBER(I13/B13),I13/B13," - ")</f>
        <v>660.22222222222217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1965</v>
      </c>
      <c r="D16" s="403">
        <f>IF(ISNUMBER(C16/Datos!BH16),C16/Datos!BH16," - ")</f>
        <v>245.625</v>
      </c>
      <c r="E16" s="402">
        <f>IF(ISNUMBER(IF(D_I="SI",Datos!J16,Datos!J16+Datos!AD16)),IF(D_I="SI",Datos!J16,Datos!J16+Datos!AD16)," - ")</f>
        <v>9878</v>
      </c>
      <c r="F16" s="403">
        <f>IF(ISNUMBER(E16/B16),E16/B16," - ")</f>
        <v>1234.75</v>
      </c>
      <c r="G16" s="402">
        <f>IF(ISNUMBER(IF(D_I="SI",Datos!K16,Datos!K16+Datos!AE16)),IF(D_I="SI",Datos!K16,Datos!K16+Datos!AE16)," - ")</f>
        <v>9930</v>
      </c>
      <c r="H16" s="403">
        <f>IF(ISNUMBER(G16/B16),G16/B16," - ")</f>
        <v>1241.25</v>
      </c>
      <c r="I16" s="402">
        <f>IF(ISNUMBER(IF(D_I="SI",Datos!L16,Datos!L16+Datos!AF16)),IF(D_I="SI",Datos!L16,Datos!L16+Datos!AF16)," - ")</f>
        <v>2155</v>
      </c>
      <c r="J16" s="403">
        <f>IF(ISNUMBER(I16/B16),I16/B16," - ")</f>
        <v>269.375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123</v>
      </c>
      <c r="D17" s="403">
        <f>IF(ISNUMBER(C17/Datos!BH17),C17/Datos!BH17," - ")</f>
        <v>123</v>
      </c>
      <c r="E17" s="402">
        <f>IF(ISNUMBER(IF(D_I="SI",Datos!J17,Datos!J17+Datos!AD17)),IF(D_I="SI",Datos!J17,Datos!J17+Datos!AD17)," - ")</f>
        <v>1344</v>
      </c>
      <c r="F17" s="403">
        <f>IF(ISNUMBER(E17/B17),E17/B17," - ")</f>
        <v>1344</v>
      </c>
      <c r="G17" s="402">
        <f>IF(ISNUMBER(IF(D_I="SI",Datos!K17,Datos!K17+Datos!AE17)),IF(D_I="SI",Datos!K17,Datos!K17+Datos!AE17)," - ")</f>
        <v>1297</v>
      </c>
      <c r="H17" s="403">
        <f>IF(ISNUMBER(G17/B17),G17/B17," - ")</f>
        <v>1297</v>
      </c>
      <c r="I17" s="402">
        <f>IF(ISNUMBER(IF(D_I="SI",Datos!L17,Datos!L17+Datos!AF17)),IF(D_I="SI",Datos!L17,Datos!L17+Datos!AF17)," - ")</f>
        <v>177</v>
      </c>
      <c r="J17" s="403">
        <f>IF(ISNUMBER(I17/B17),I17/B17," - ")</f>
        <v>177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2088</v>
      </c>
      <c r="D18" s="849" t="str">
        <f>IF(ISNUMBER(C18/Datos!BI18),C18/Datos!BI18," - ")</f>
        <v xml:space="preserve"> - </v>
      </c>
      <c r="E18" s="848">
        <f>SUBTOTAL(9,E14:E17)</f>
        <v>11222</v>
      </c>
      <c r="F18" s="849">
        <f>IF(ISNUMBER(E18/B18),E18/B18," - ")</f>
        <v>1246.8888888888889</v>
      </c>
      <c r="G18" s="848">
        <f>SUBTOTAL(9,G14:G17)</f>
        <v>11227</v>
      </c>
      <c r="H18" s="849">
        <f>IF(ISNUMBER(G18/B18),G18/B18," - ")</f>
        <v>1247.4444444444443</v>
      </c>
      <c r="I18" s="848">
        <f>SUBTOTAL(9,I14:I17)</f>
        <v>2332</v>
      </c>
      <c r="J18" s="849">
        <f>IF(ISNUMBER(I18/B18),I18/B18," - ")</f>
        <v>259.11111111111109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8525</v>
      </c>
      <c r="D19" s="794" t="str">
        <f>IF(ISNUMBER(C19/Datos!BI19),C19/Datos!BI19," - ")</f>
        <v xml:space="preserve"> - </v>
      </c>
      <c r="E19" s="793">
        <f>SUBTOTAL(9,E9:E18)</f>
        <v>21594</v>
      </c>
      <c r="F19" s="794">
        <f>IF(ISNUMBER(E19/B19),E19/B19," - ")</f>
        <v>2399.3333333333335</v>
      </c>
      <c r="G19" s="793">
        <f>SUBTOTAL(9,G9:G18)</f>
        <v>22216</v>
      </c>
      <c r="H19" s="794">
        <f>IF(ISNUMBER(G19/B19),G19/B19," - ")</f>
        <v>2468.4444444444443</v>
      </c>
      <c r="I19" s="793">
        <f>SUBTOTAL(9,I9:I18)</f>
        <v>8274</v>
      </c>
      <c r="J19" s="794">
        <f>IF(ISNUMBER(I19/B19),I19/B19," - ")</f>
        <v>919.33333333333337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mCeemhfz6jGiIFT6hFswipb1Np41p09FQo3id665vlJOn+HiEP8uyLRNUh2Ej/dn6MYkSGetuvYxjmGaMGlQLA==" saltValue="uZUxWLL2gNWG9CYZi9daJ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GETAFE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71</v>
      </c>
      <c r="G10" s="683">
        <f>IF(ISNUMBER(Datos!I10),Datos!I10," - ")</f>
        <v>71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126</v>
      </c>
      <c r="AC10" s="682" t="str">
        <f>IF(ISNUMBER(IF(D_I="SI",DatosP!K17,DatosP!K17+DatosP!AE17)),IF(D_I="SI",DatosP!K17,DatosP!K17+DatosP!AE17)," - ")</f>
        <v xml:space="preserve"> - </v>
      </c>
      <c r="AD10" s="684"/>
      <c r="AE10" s="684"/>
      <c r="AF10" s="687">
        <f>IF(ISNUMBER(Datos!L10),Datos!L10,"-")</f>
        <v>111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42</v>
      </c>
      <c r="AM10" s="689">
        <f>IF(ISNUMBER(Datos!N10+DatosP!N17),Datos!N10+DatosP!N17," - ")</f>
        <v>56</v>
      </c>
      <c r="AN10" s="689">
        <f>IF(ISNUMBER(Datos!BW10+DatosP!BW17),Datos!BW10+DatosP!BW17," - ")</f>
        <v>0</v>
      </c>
      <c r="AO10" s="690">
        <f>IF(ISNUMBER(Datos!BX10+DatosP!BX17),Datos!BX10+DatosP!BX17," - ")</f>
        <v>0</v>
      </c>
      <c r="AP10" s="692">
        <f>IF(ISNUMBER(((Datos!L10/Datos!K10)*11)/factor_trimestre),((Datos!L10/Datos!K10)*11)/factor_trimestre," - ")</f>
        <v>9.6904761904761898</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1959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2020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7607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2064</v>
      </c>
      <c r="AM12" s="689">
        <f>IF(ISNUMBER(Datos!N12+DatosP!N16),Datos!N12+DatosP!N16," - ")</f>
        <v>6800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5.9045383411580588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-7.9551382368283768E-3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71</v>
      </c>
      <c r="G13" s="937">
        <f t="shared" si="0"/>
        <v>71</v>
      </c>
      <c r="H13" s="937">
        <f t="shared" si="0"/>
        <v>0</v>
      </c>
      <c r="I13" s="939">
        <f t="shared" si="0"/>
        <v>0</v>
      </c>
      <c r="J13" s="938">
        <f t="shared" si="0"/>
        <v>0</v>
      </c>
      <c r="K13" s="938">
        <f t="shared" si="0"/>
        <v>0</v>
      </c>
      <c r="L13" s="940">
        <f t="shared" si="0"/>
        <v>0</v>
      </c>
      <c r="M13" s="940">
        <f t="shared" si="0"/>
        <v>0</v>
      </c>
      <c r="N13" s="938">
        <f t="shared" si="0"/>
        <v>1974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126</v>
      </c>
      <c r="AC13" s="938">
        <f t="shared" si="1"/>
        <v>0</v>
      </c>
      <c r="AD13" s="938">
        <f t="shared" si="1"/>
        <v>2020</v>
      </c>
      <c r="AE13" s="938">
        <f t="shared" si="1"/>
        <v>0</v>
      </c>
      <c r="AF13" s="938">
        <f t="shared" si="1"/>
        <v>111</v>
      </c>
      <c r="AG13" s="938">
        <f t="shared" si="1"/>
        <v>0</v>
      </c>
      <c r="AH13" s="938">
        <f t="shared" si="1"/>
        <v>7607</v>
      </c>
      <c r="AI13" s="938">
        <f t="shared" si="1"/>
        <v>0</v>
      </c>
      <c r="AJ13" s="938">
        <f t="shared" si="1"/>
        <v>0</v>
      </c>
      <c r="AK13" s="938">
        <f t="shared" si="1"/>
        <v>0</v>
      </c>
      <c r="AL13" s="938">
        <f t="shared" si="1"/>
        <v>2106</v>
      </c>
      <c r="AM13" s="938">
        <f t="shared" si="1"/>
        <v>6856</v>
      </c>
      <c r="AN13" s="938">
        <f t="shared" si="1"/>
        <v>0</v>
      </c>
      <c r="AO13" s="938">
        <f t="shared" si="1"/>
        <v>0</v>
      </c>
      <c r="AP13" s="943">
        <f>IF(ISNUMBER(((Datos!L13/Datos!K13)*11)/factor_trimestre),((Datos!L13/Datos!K13)*11)/factor_trimestre," - ")</f>
        <v>6.1314993659155208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-1.7746478873239437</v>
      </c>
      <c r="AU13" s="938" t="str">
        <f>IF(ISNUMBER((DatosP!#REF!-DatosP!#REF!+DatosP!#REF!)/(DatosP!#REF!+DatosP!#REF!-DatosP!#REF!-DatosP!#REF!)),(DatosP!#REF!-DatosP!#REF!+DatosP!#REF!)/(DatosP!#REF!+DatosP!#REF!-DatosP!#REF!-DatosP!#REF!)," - ")</f>
        <v xml:space="preserve"> - </v>
      </c>
      <c r="AV13" s="944">
        <f>SUBTOTAL(9,AV9:AV12)</f>
        <v>-7.9551382368283768E-3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2.2848490246726643</v>
      </c>
      <c r="AQ18" s="943">
        <f>IF(ISNUMBER(((Datos!M18/Datos!L18)*11)/factor_trimestre),((Datos!M18/Datos!L18)*11)/factor_trimestre," - ")</f>
        <v>6.6037735849056602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8.5836909871244635E-3</v>
      </c>
      <c r="AW18" s="945">
        <f>IF(ISNUMBER((Datos!Q18-Datos!R18)/(Datos!S18-Datos!Q18+Datos!R18)),(Datos!Q18-Datos!R18)/(Datos!S18-Datos!Q18+Datos!R18)," - ")</f>
        <v>4.4073853484216795E-2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71</v>
      </c>
      <c r="G19" s="950">
        <f t="shared" si="4"/>
        <v>71</v>
      </c>
      <c r="H19" s="950">
        <f t="shared" si="4"/>
        <v>0</v>
      </c>
      <c r="I19" s="951">
        <f t="shared" si="4"/>
        <v>0</v>
      </c>
      <c r="J19" s="952">
        <f t="shared" si="4"/>
        <v>0</v>
      </c>
      <c r="K19" s="952">
        <f t="shared" si="4"/>
        <v>0</v>
      </c>
      <c r="L19" s="952">
        <f t="shared" si="4"/>
        <v>0</v>
      </c>
      <c r="M19" s="952">
        <f t="shared" si="4"/>
        <v>0</v>
      </c>
      <c r="N19" s="951">
        <f t="shared" si="4"/>
        <v>1974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126</v>
      </c>
      <c r="AC19" s="956">
        <f t="shared" si="5"/>
        <v>0</v>
      </c>
      <c r="AD19" s="956">
        <f t="shared" si="5"/>
        <v>2020</v>
      </c>
      <c r="AE19" s="956">
        <f t="shared" si="5"/>
        <v>0</v>
      </c>
      <c r="AF19" s="957">
        <f t="shared" si="5"/>
        <v>111</v>
      </c>
      <c r="AG19" s="957">
        <f t="shared" si="5"/>
        <v>0</v>
      </c>
      <c r="AH19" s="957">
        <f t="shared" si="5"/>
        <v>7607</v>
      </c>
      <c r="AI19" s="957">
        <f t="shared" si="5"/>
        <v>0</v>
      </c>
      <c r="AJ19" s="958">
        <f t="shared" si="5"/>
        <v>0</v>
      </c>
      <c r="AK19" s="958">
        <f t="shared" si="5"/>
        <v>0</v>
      </c>
      <c r="AL19" s="950">
        <f t="shared" si="5"/>
        <v>2106</v>
      </c>
      <c r="AM19" s="950">
        <f t="shared" si="5"/>
        <v>6856</v>
      </c>
      <c r="AN19" s="950">
        <f t="shared" si="5"/>
        <v>0</v>
      </c>
      <c r="AO19" s="950">
        <f t="shared" si="5"/>
        <v>0</v>
      </c>
      <c r="AP19" s="950">
        <f>IF(ISNUMBER(((Datos!L19/Datos!K19)*11)/factor_trimestre),((Datos!L19/Datos!K19)*11)/factor_trimestre," - ")</f>
        <v>4.1207747462519793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-1.7746478873239437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-6.8401123732747034E-3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47.333333333333336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4.2895221179054435</v>
      </c>
      <c r="F21" s="735">
        <f>IF(ISNUMBER(STDEV(F8:F18)),STDEV(F8:F18),"-")</f>
        <v>40.991869112463434</v>
      </c>
      <c r="G21" s="736">
        <f>IF(ISNUMBER(STDEV(G8:G18)),STDEV(G8:G18),"-")</f>
        <v>40.991869112463434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72.746133917892848</v>
      </c>
      <c r="AC21" s="737">
        <f>IF(ISNUMBER(STDEV(AC8:AC18)),STDEV(AC8:AC18),"-")</f>
        <v>0</v>
      </c>
      <c r="AD21" s="740"/>
      <c r="AE21" s="740"/>
      <c r="AF21" s="740"/>
      <c r="AG21" s="740"/>
      <c r="AH21" s="740"/>
      <c r="AI21" s="740"/>
      <c r="AJ21" s="741">
        <f>IF(ISNUMBER(STDEV(AJ8:AJ18)),STDEV(AJ8:AJ18),"-")</f>
        <v>0</v>
      </c>
      <c r="AK21" s="743"/>
      <c r="AL21" s="735">
        <f>IF(ISNUMBER(STDEV(AL8:AL18)),STDEV(AL8:AL18),"-")</f>
        <v>1191.8976466123256</v>
      </c>
      <c r="AM21" s="735"/>
      <c r="AN21" s="735">
        <f>IF(ISNUMBER(STDEV(AN8:AN18)),STDEV(AN8:AN18),"-")</f>
        <v>0</v>
      </c>
      <c r="AO21" s="741">
        <f>IF(ISNUMBER(STDEV(AO8:AO18)),STDEV(AO8:AO18),"-")</f>
        <v>0</v>
      </c>
      <c r="AP21" s="778">
        <f>IF(ISNUMBER(STDEV(AP8:AP18)),STDEV(AP8:AP18),"-")</f>
        <v>3.0248048980880307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kKA7V+FSpRl2C/d1W4uLLdtAKruns9owUynD5Of88kZr5c0lo1ypaaV2k9laCasxpxxj6miBdn4/f3XhGyPyQ==" saltValue="BDJ1LkOK7o03/+lbf7Apr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GETAFE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5ucdD+5n1yzroaLxShXazTS4ccoYoxc7Xu+VUGLlWAISFLbHQeOP4vXftW97wK0ZsO0zwDWpOVqfo4KjkLcTMg==" saltValue="aZdFSfIbc/INaL06+b4nV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GETAFE</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42</v>
      </c>
      <c r="E10" s="403">
        <f>IF(ISNUMBER(D10/B10),D10/B10," - ")</f>
        <v>42</v>
      </c>
      <c r="F10" s="402">
        <f>IF(ISNUMBER(Datos!N10),Datos!N10," - ")</f>
        <v>56</v>
      </c>
      <c r="G10" s="403">
        <f>IF(ISNUMBER(F10/B10),F10/B10," - ")</f>
        <v>56</v>
      </c>
      <c r="H10" s="402">
        <f>IF(ISNUMBER(Datos!O10),Datos!O10," - ")</f>
        <v>9</v>
      </c>
      <c r="I10" s="403">
        <f t="shared" ref="I10:I12" si="2">IF(ISNUMBER(H10/B10),H10/B10," - ")</f>
        <v>9</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2064</v>
      </c>
      <c r="E12" s="403">
        <f t="shared" si="0"/>
        <v>258</v>
      </c>
      <c r="F12" s="402">
        <f>IF(ISNUMBER(Datos!N12),Datos!N12," - ")</f>
        <v>6800</v>
      </c>
      <c r="G12" s="403">
        <f t="shared" si="1"/>
        <v>850</v>
      </c>
      <c r="H12" s="402">
        <f>IF(ISNUMBER(Datos!O12),Datos!O12," - ")</f>
        <v>2535</v>
      </c>
      <c r="I12" s="403">
        <f t="shared" si="2"/>
        <v>316.875</v>
      </c>
      <c r="BZ12" s="1185">
        <f>Datos!EZ12</f>
        <v>0</v>
      </c>
    </row>
    <row r="13" spans="1:78" ht="14.25" thickTop="1" thickBot="1">
      <c r="A13" s="847" t="str">
        <f>Datos!A13</f>
        <v>TOTAL</v>
      </c>
      <c r="B13" s="848">
        <f>Datos!AP13</f>
        <v>9</v>
      </c>
      <c r="C13" s="850">
        <f>Datos!AR13</f>
        <v>9</v>
      </c>
      <c r="D13" s="848">
        <f>SUBTOTAL(9,D9:D12)</f>
        <v>2106</v>
      </c>
      <c r="E13" s="849">
        <f t="shared" si="0"/>
        <v>234</v>
      </c>
      <c r="F13" s="848">
        <f>SUBTOTAL(9,F9:F12)</f>
        <v>6856</v>
      </c>
      <c r="G13" s="849">
        <f t="shared" si="1"/>
        <v>761.77777777777783</v>
      </c>
      <c r="H13" s="848">
        <f>SUBTOTAL(9,H9:H12)</f>
        <v>2544</v>
      </c>
      <c r="I13" s="849">
        <f>IF(ISNUMBER(H13/B13),H13/B13," - ")</f>
        <v>282.66666666666669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1331</v>
      </c>
      <c r="E16" s="403">
        <f t="shared" si="3"/>
        <v>166.375</v>
      </c>
      <c r="F16" s="402">
        <f>IF(ISNUMBER(Datos!N16),Datos!N16," - ")</f>
        <v>6458</v>
      </c>
      <c r="G16" s="403">
        <f t="shared" si="4"/>
        <v>807.25</v>
      </c>
      <c r="H16" s="402">
        <f>IF(ISNUMBER(Datos!O16),Datos!O16," - ")</f>
        <v>121</v>
      </c>
      <c r="I16" s="403">
        <f t="shared" si="5"/>
        <v>15.125</v>
      </c>
      <c r="BZ16" s="1185">
        <f>Datos!EZ16</f>
        <v>0</v>
      </c>
    </row>
    <row r="17" spans="1:78" ht="13.5" thickBot="1">
      <c r="A17" s="401" t="str">
        <f>Datos!A17</f>
        <v>Jdos. Violencia contra la mujer/Secc Viol. TI.</v>
      </c>
      <c r="B17" s="426">
        <f>Datos!AO17</f>
        <v>1</v>
      </c>
      <c r="C17" s="427">
        <f>Datos!AQ17</f>
        <v>1</v>
      </c>
      <c r="D17" s="402">
        <f>IF(ISNUMBER(Datos!M17),Datos!M17," - ")</f>
        <v>69</v>
      </c>
      <c r="E17" s="403">
        <f>IF(ISNUMBER(D17/B17),D17/B17," - ")</f>
        <v>69</v>
      </c>
      <c r="F17" s="402">
        <f>IF(ISNUMBER(Datos!N17),Datos!N17," - ")</f>
        <v>622</v>
      </c>
      <c r="G17" s="403">
        <f>IF(ISNUMBER(F17/B17),F17/B17," - ")</f>
        <v>622</v>
      </c>
      <c r="H17" s="402">
        <f>IF(ISNUMBER(Datos!O17),Datos!O17," - ")</f>
        <v>5</v>
      </c>
      <c r="I17" s="403">
        <f t="shared" si="5"/>
        <v>5</v>
      </c>
      <c r="BZ17" s="1185">
        <f>Datos!EZ17</f>
        <v>0</v>
      </c>
    </row>
    <row r="18" spans="1:78" ht="14.25" thickTop="1" thickBot="1">
      <c r="A18" s="847" t="str">
        <f>Datos!A18</f>
        <v>TOTAL</v>
      </c>
      <c r="B18" s="848">
        <f>Datos!AP18</f>
        <v>9</v>
      </c>
      <c r="C18" s="850">
        <f>Datos!AR18</f>
        <v>9</v>
      </c>
      <c r="D18" s="848">
        <f>SUBTOTAL(9,D15:D17)</f>
        <v>1400</v>
      </c>
      <c r="E18" s="849">
        <f t="shared" si="3"/>
        <v>155.55555555555554</v>
      </c>
      <c r="F18" s="848">
        <f>SUBTOTAL(9,F15:F17)</f>
        <v>7080</v>
      </c>
      <c r="G18" s="849">
        <f t="shared" si="4"/>
        <v>786.66666666666663</v>
      </c>
      <c r="H18" s="848">
        <f>SUBTOTAL(9,H15:H17)</f>
        <v>126</v>
      </c>
      <c r="I18" s="849">
        <f>IF(ISNUMBER(H18/B18),H18/B18," - ")</f>
        <v>14</v>
      </c>
      <c r="BZ18" s="1185"/>
    </row>
    <row r="19" spans="1:78" ht="14.25" thickTop="1" thickBot="1">
      <c r="A19" s="792" t="str">
        <f>Datos!A19</f>
        <v>TOTAL JURISDICCIONES</v>
      </c>
      <c r="B19" s="793">
        <f>Datos!AP19</f>
        <v>9</v>
      </c>
      <c r="C19" s="793">
        <f>Datos!AR19</f>
        <v>9</v>
      </c>
      <c r="D19" s="793">
        <f>SUBTOTAL(9,D8:D18)</f>
        <v>3506</v>
      </c>
      <c r="E19" s="794">
        <f>IF(ISNUMBER(D19/B19),D19/B19," - ")</f>
        <v>389.55555555555554</v>
      </c>
      <c r="F19" s="793">
        <f>SUBTOTAL(9,F8:F18)</f>
        <v>13936</v>
      </c>
      <c r="G19" s="794">
        <f>IF(ISNUMBER(F19/B19),F19/B19," - ")</f>
        <v>1548.4444444444443</v>
      </c>
      <c r="H19" s="793">
        <f>SUBTOTAL(9,H8:H18)</f>
        <v>2670</v>
      </c>
      <c r="I19" s="794">
        <f>IF(ISNUMBER(H19/B19),H19/B19," - ")</f>
        <v>296.66666666666669</v>
      </c>
    </row>
    <row r="22" spans="1:78">
      <c r="A22" s="390" t="str">
        <f>Criterios!A4</f>
        <v>Fecha Informe: 18 mar. 2026</v>
      </c>
    </row>
    <row r="27" spans="1:78">
      <c r="A27" s="413"/>
    </row>
  </sheetData>
  <sheetProtection algorithmName="SHA-512" hashValue="dLmK6vcOV92fsQKZya2zpAnxSzJeT4An0ehn/PNj98oKS1n/tcy3m83dyqS9sdJDngwo6Ew1XLw1sb9tR7bMxw==" saltValue="j3/cQn2mzMbv+QEwXC3m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GETAFE</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15</v>
      </c>
      <c r="C10" s="433">
        <f>IF(ISNUMBER(Datos!Q10),Datos!Q10," - ")</f>
        <v>14</v>
      </c>
      <c r="D10" s="407">
        <f>IF(ISNUMBER(Datos!R10),Datos!R10," - ")</f>
        <v>54</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1959</v>
      </c>
      <c r="C12" s="433">
        <f>IF(ISNUMBER(Datos!Q12),Datos!Q12," - ")</f>
        <v>2020</v>
      </c>
      <c r="D12" s="407">
        <f>IF(ISNUMBER(Datos!R12),Datos!R12," - ")</f>
        <v>7607</v>
      </c>
    </row>
    <row r="13" spans="1:4" ht="14.25" thickTop="1" thickBot="1">
      <c r="A13" s="847" t="str">
        <f>Datos!A13</f>
        <v>TOTAL</v>
      </c>
      <c r="B13" s="848">
        <f>SUBTOTAL(9,B9:B12)</f>
        <v>1974</v>
      </c>
      <c r="C13" s="852">
        <f>SUBTOTAL(9,C9:C12)</f>
        <v>2034</v>
      </c>
      <c r="D13" s="850">
        <f>SUBTOTAL(9,D9:D12)</f>
        <v>7661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540</v>
      </c>
      <c r="C16" s="433">
        <f>IF(ISNUMBER(Datos!Q16),Datos!Q16," - ")</f>
        <v>539</v>
      </c>
      <c r="D16" s="407">
        <f>IF(ISNUMBER(Datos!R16),Datos!R16," - ")</f>
        <v>465</v>
      </c>
    </row>
    <row r="17" spans="1:4" ht="13.5" thickBot="1">
      <c r="A17" s="401" t="str">
        <f>Datos!A17</f>
        <v>Jdos. Violencia contra la mujer/Secc Viol. TI.</v>
      </c>
      <c r="B17" s="432">
        <f>IF(ISNUMBER(Datos!P17),Datos!P17," - ")</f>
        <v>8</v>
      </c>
      <c r="C17" s="433">
        <f>IF(ISNUMBER(Datos!Q17),Datos!Q17," - ")</f>
        <v>5</v>
      </c>
      <c r="D17" s="407">
        <f>IF(ISNUMBER(Datos!R17),Datos!R17," - ")</f>
        <v>5</v>
      </c>
    </row>
    <row r="18" spans="1:4" ht="14.25" thickTop="1" thickBot="1">
      <c r="A18" s="847" t="str">
        <f>Datos!A18</f>
        <v>TOTAL</v>
      </c>
      <c r="B18" s="848">
        <f>SUBTOTAL(9,B15:B17)</f>
        <v>548</v>
      </c>
      <c r="C18" s="852">
        <f>SUBTOTAL(9,C15:C17)</f>
        <v>544</v>
      </c>
      <c r="D18" s="850">
        <f>SUBTOTAL(9,D15:D17)</f>
        <v>470</v>
      </c>
    </row>
    <row r="19" spans="1:4" ht="16.5" customHeight="1" thickTop="1" thickBot="1">
      <c r="A19" s="792" t="str">
        <f>Datos!A19</f>
        <v>TOTAL JURISDICCIONES</v>
      </c>
      <c r="B19" s="797">
        <f>SUBTOTAL(9,B8:B18)</f>
        <v>2522</v>
      </c>
      <c r="C19" s="798">
        <f>SUBTOTAL(9,C8:C18)</f>
        <v>2578</v>
      </c>
      <c r="D19" s="799">
        <f>SUBTOTAL(9,D8:D18)</f>
        <v>8131</v>
      </c>
    </row>
    <row r="20" spans="1:4" ht="7.5" customHeight="1"/>
    <row r="21" spans="1:4" ht="6" customHeight="1"/>
    <row r="22" spans="1:4">
      <c r="A22" s="390" t="str">
        <f>Criterios!A4</f>
        <v>Fecha Informe: 18 mar. 2026</v>
      </c>
    </row>
    <row r="27" spans="1:4">
      <c r="A27" s="413"/>
    </row>
  </sheetData>
  <sheetProtection algorithmName="SHA-512" hashValue="G97Lje6/yGpZZ9pD0fjEh06NACMzenmgQVf4N1pje8zl5N/xKzEtN9WfvzRTgI4WeYPmi32cQwxuTwIk2aadLg==" saltValue="oHFMsZ8Llqn2JDyowtBY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GETAFE</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1.5357142857142858</v>
      </c>
      <c r="C10" s="455">
        <f>IF(ISNUMBER((Datos!J10-Datos!T10)/Datos!T10),(Datos!J10-Datos!T10)/Datos!T10," - ")</f>
        <v>4.40251572327044E-2</v>
      </c>
      <c r="D10" s="455">
        <f>IF(ISNUMBER((Datos!K10-Datos!U10)/Datos!U10),(Datos!K10-Datos!U10)/Datos!U10," - ")</f>
        <v>8.6206896551724144E-2</v>
      </c>
      <c r="E10" s="455">
        <f>IF(ISNUMBER((Datos!L10-Datos!V10)/Datos!V10),(Datos!L10-Datos!V10)/Datos!V10," - ")</f>
        <v>0.56338028169014087</v>
      </c>
      <c r="F10" s="455">
        <f>IF(ISNUMBER((Datos!M10-Datos!W10)/Datos!W10),(Datos!M10-Datos!W10)/Datos!W10," - ")</f>
        <v>2.4390243902439025E-2</v>
      </c>
      <c r="G10" s="456">
        <f>IF(ISNUMBER((Datos!N10-Datos!X10)/Datos!X10),(Datos!N10-Datos!X10)/Datos!X10," - ")</f>
        <v>3.7037037037037035E-2</v>
      </c>
      <c r="H10" s="454">
        <f>IF(ISNUMBER(((NºAsuntos!G10/NºAsuntos!E10)-Datos!BD10)/Datos!BD10),((NºAsuntos!G10/NºAsuntos!E10)-Datos!BD10)/Datos!BD10," - ")</f>
        <v>4.0402991275446686E-2</v>
      </c>
      <c r="I10" s="455">
        <f>IF(ISNUMBER(((NºAsuntos!I10/NºAsuntos!G10)-Datos!BE10)/Datos!BE10),((NºAsuntos!I10/NºAsuntos!G10)-Datos!BE10)/Datos!BE10," - ")</f>
        <v>0.43930248155600277</v>
      </c>
      <c r="J10" s="460">
        <f>IF(ISNUMBER((('Resol  Asuntos'!D10/NºAsuntos!G10)-Datos!BF10)/Datos!BF10),(('Resol  Asuntos'!D10/NºAsuntos!G10)-Datos!BF10)/Datos!BF10," - ")</f>
        <v>-5.6910569105691068E-2</v>
      </c>
      <c r="K10" s="461">
        <f>IF(ISNUMBER((((NºAsuntos!C10+NºAsuntos!E10)/NºAsuntos!G10)-Datos!BG10)/Datos!BG10),(((NºAsuntos!C10+NºAsuntos!E10)/NºAsuntos!G10)-Datos!BG10)/Datos!BG10," - ")</f>
        <v>0.16679399032340211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0.29971416904859127</v>
      </c>
      <c r="C12" s="455">
        <f>IF(ISNUMBER(
   IF(J_V="SI",(Datos!J12-Datos!T12)/Datos!T12,(Datos!J12+Datos!Z12-(Datos!T12+Datos!AH12))/(Datos!T12+Datos!AH12))
     ),IF(J_V="SI",(Datos!J12-Datos!T12)/Datos!T12,(Datos!J12+Datos!Z12-(Datos!T12+Datos!AH12))/(Datos!T12+Datos!AH12))," - ")</f>
        <v>-0.14040259412111514</v>
      </c>
      <c r="D12" s="455">
        <f>IF(ISNUMBER(
   IF(J_V="SI",(Datos!K12-Datos!U12)/Datos!U12,(Datos!K12+Datos!AA12-(Datos!U12+Datos!AI12))/(Datos!U12+Datos!AI12))
     ),IF(J_V="SI",(Datos!K12-Datos!U12)/Datos!U12,(Datos!K12+Datos!AA12-(Datos!U12+Datos!AI12))/(Datos!U12+Datos!AI12))," - ")</f>
        <v>4.2714532539834899E-2</v>
      </c>
      <c r="E12" s="455">
        <f>IF(ISNUMBER(
   IF(J_V="SI",(Datos!L12-Datos!V12)/Datos!V12,(Datos!L12+Datos!AB12-(Datos!V12+Datos!AJ12))/(Datos!V12+Datos!AJ12))
     ),IF(J_V="SI",(Datos!L12-Datos!V12)/Datos!V12,(Datos!L12+Datos!AB12-(Datos!V12+Datos!AJ12))/(Datos!V12+Datos!AJ12))," - ")</f>
        <v>-8.4040213634935593E-2</v>
      </c>
      <c r="F12" s="455">
        <f>IF(ISNUMBER((Datos!M12-Datos!W12)/Datos!W12),(Datos!M12-Datos!W12)/Datos!W12," - ")</f>
        <v>0.2176991150442478</v>
      </c>
      <c r="G12" s="456">
        <f>IF(ISNUMBER((Datos!N12-Datos!X12)/Datos!X12),(Datos!N12-Datos!X12)/Datos!X12," - ")</f>
        <v>5.9520099719538797E-2</v>
      </c>
      <c r="H12" s="454">
        <f>IF(ISNUMBER(((NºAsuntos!G12/NºAsuntos!E12)-Datos!BD12)/Datos!BD12),((NºAsuntos!G12/NºAsuntos!E12)-Datos!BD12)/Datos!BD12," - ")</f>
        <v>0.21302661619101107</v>
      </c>
      <c r="I12" s="455">
        <f>IF(ISNUMBER(((NºAsuntos!I12/NºAsuntos!G12)-Datos!BE12)/Datos!BE12),((NºAsuntos!I12/NºAsuntos!G12)-Datos!BE12)/Datos!BE12," - ")</f>
        <v>-0.12156227061113499</v>
      </c>
      <c r="J12" s="460">
        <f>IF(ISNUMBER((('Resol  Asuntos'!D12/NºAsuntos!G12)-Datos!BF12)/Datos!BF12),(('Resol  Asuntos'!D12/NºAsuntos!G12)-Datos!BF12)/Datos!BF12," - ")</f>
        <v>-0.69157856480870694</v>
      </c>
      <c r="K12" s="461">
        <f>IF(ISNUMBER((((NºAsuntos!C12+NºAsuntos!E12)/NºAsuntos!G12)-Datos!BG12)/Datos!BG12),(((NºAsuntos!C12+NºAsuntos!E12)/NºAsuntos!G12)-Datos!BG12)/Datos!BG12," - ")</f>
        <v>-5.2344387102768182E-2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0.30673974827446204</v>
      </c>
      <c r="C13" s="854">
        <f>IF(ISNUMBER(
   IF(J_V="SI",(Datos!J13-Datos!T13)/Datos!T13,(Datos!J13+Datos!Z13-(Datos!T13+Datos!AH13))/(Datos!T13+Datos!AH13))
     ),IF(J_V="SI",(Datos!J13-Datos!T13)/Datos!T13,(Datos!J13+Datos!Z13-(Datos!T13+Datos!AH13))/(Datos!T13+Datos!AH13))," - ")</f>
        <v>-0.1379654255319149</v>
      </c>
      <c r="D13" s="854">
        <f>IF(ISNUMBER(
   IF(J_V="SI",(Datos!K13-Datos!U13)/Datos!U13,(Datos!K13+Datos!AA13-(Datos!U13+Datos!AI13))/(Datos!U13+Datos!AI13))
     ),IF(J_V="SI",(Datos!K13-Datos!U13)/Datos!U13,(Datos!K13+Datos!AA13-(Datos!U13+Datos!AI13))/(Datos!U13+Datos!AI13))," - ")</f>
        <v>4.3193468767799503E-2</v>
      </c>
      <c r="E13" s="854">
        <f>IF(ISNUMBER(
   IF(J_V="SI",(Datos!L13-Datos!V13)/Datos!V13,(Datos!L13+Datos!AB13-(Datos!V13+Datos!AJ13))/(Datos!V13+Datos!AJ13))
     ),IF(J_V="SI",(Datos!L13-Datos!V13)/Datos!V13,(Datos!L13+Datos!AB13-(Datos!V13+Datos!AJ13))/(Datos!V13+Datos!AJ13))," - ")</f>
        <v>-7.6899176635078448E-2</v>
      </c>
      <c r="F13" s="855">
        <f>IF(ISNUMBER((Datos!M13-Datos!W13)/Datos!W13),(Datos!M13-Datos!W13)/Datos!W13," - ")</f>
        <v>0.21313364055299538</v>
      </c>
      <c r="G13" s="856">
        <f>IF(ISNUMBER((Datos!N13-Datos!X13)/Datos!X13),(Datos!N13-Datos!X13)/Datos!X13," - ")</f>
        <v>5.9332509270704575E-2</v>
      </c>
      <c r="H13" s="856">
        <f>IF(ISNUMBER(((NºAsuntos!G13/NºAsuntos!E13)-Datos!BD13)/Datos!BD13),((NºAsuntos!G13/NºAsuntos!E13)-Datos!BD13)/Datos!BD13," - ")</f>
        <v>0.21015270113904386</v>
      </c>
      <c r="I13" s="856">
        <f>IF(ISNUMBER(((NºAsuntos!I13/NºAsuntos!G13)-Datos!BE13)/Datos!BE13),((NºAsuntos!I13/NºAsuntos!G13)-Datos!BE13)/Datos!BE13," - ")</f>
        <v>-0.11512020444753095</v>
      </c>
      <c r="J13" s="856">
        <f>IF(ISNUMBER((('Resol  Asuntos'!D13/NºAsuntos!G13)-Datos!BF13)/Datos!BF13),(('Resol  Asuntos'!D13/NºAsuntos!G13)-Datos!BF13)/Datos!BF13," - ")</f>
        <v>-0.68744372460117931</v>
      </c>
      <c r="K13" s="856">
        <f>IF(ISNUMBER((((NºAsuntos!C13+NºAsuntos!E13)/NºAsuntos!G13)-Datos!BG13)/Datos!BG13),(((NºAsuntos!C13+NºAsuntos!E13)/NºAsuntos!G13)-Datos!BG13)/Datos!BG13," - ")</f>
        <v>-4.9827653082753873E-2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0.16825208085612367</v>
      </c>
      <c r="C16" s="455">
        <f>IF(ISNUMBER(
   IF(D_I="SI",(Datos!J16-Datos!T16)/Datos!T16,(Datos!J16+Datos!AD16-(Datos!T16+Datos!AL16))/(Datos!T16+Datos!AL16))
     ),IF(D_I="SI",(Datos!J16-Datos!T16)/Datos!T16,(Datos!J16+Datos!AD16-(Datos!T16+Datos!AL16))/(Datos!T16+Datos!AL16))," - ")</f>
        <v>-5.5369608874438175E-2</v>
      </c>
      <c r="D16" s="455">
        <f>IF(ISNUMBER(
   IF(D_I="SI",(Datos!K16-Datos!U16)/Datos!U16,(Datos!K16+Datos!AE16-(Datos!U16+Datos!AM16))/(Datos!U16+Datos!AM16))
     ),IF(D_I="SI",(Datos!K16-Datos!U16)/Datos!U16,(Datos!K16+Datos!AE16-(Datos!U16+Datos!AM16))/(Datos!U16+Datos!AM16))," - ")</f>
        <v>-4.5008655510675129E-2</v>
      </c>
      <c r="E16" s="455">
        <f>IF(ISNUMBER(
   IF(D_I="SI",(Datos!L16-Datos!V16)/Datos!V16,(Datos!L16+Datos!AF16-(Datos!V16+Datos!AN16))/(Datos!V16+Datos!AN16))
     ),IF(D_I="SI",(Datos!L16-Datos!V16)/Datos!V16,(Datos!L16+Datos!AF16-(Datos!V16+Datos!AN16))/(Datos!V16+Datos!AN16))," - ")</f>
        <v>9.6692111959287536E-2</v>
      </c>
      <c r="F16" s="455">
        <f>IF(ISNUMBER((Datos!M16-Datos!W16)/Datos!W16),(Datos!M16-Datos!W16)/Datos!W16," - ")</f>
        <v>8.1234768480909825E-2</v>
      </c>
      <c r="G16" s="456">
        <f>IF(ISNUMBER((Datos!N16-Datos!X16)/Datos!X16),(Datos!N16-Datos!X16)/Datos!X16," - ")</f>
        <v>-7.6901086335048593E-2</v>
      </c>
      <c r="H16" s="454">
        <f>IF(ISNUMBER(((NºAsuntos!G16/NºAsuntos!E16)-Datos!BD16)/Datos!BD16),((NºAsuntos!G16/NºAsuntos!E16)-Datos!BD16)/Datos!BD16," - ")</f>
        <v>1.0968261725538588E-2</v>
      </c>
      <c r="I16" s="455">
        <f>IF(ISNUMBER(((NºAsuntos!I16/NºAsuntos!G16)-Datos!BE16)/Datos!BE16),((NºAsuntos!I16/NºAsuntos!G16)-Datos!BE16)/Datos!BE16," - ")</f>
        <v>0.14837911179785215</v>
      </c>
      <c r="J16" s="460">
        <f>IF(ISNUMBER((('Resol  Asuntos'!D16/NºAsuntos!G16)-Datos!BF16)/Datos!BF16),(('Resol  Asuntos'!D16/NºAsuntos!G16)-Datos!BF16)/Datos!BF16," - ")</f>
        <v>0.1321932651223062</v>
      </c>
      <c r="K16" s="461">
        <f>IF(ISNUMBER((((NºAsuntos!C16+NºAsuntos!E16)/NºAsuntos!G16)-Datos!BG16)/Datos!BG16),(((NºAsuntos!C16+NºAsuntos!E16)/NºAsuntos!G16)-Datos!BG16)/Datos!BG16," - ")</f>
        <v>2.1596467305075855E-2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0.73239436619718312</v>
      </c>
      <c r="C17" s="455">
        <f>IF(ISNUMBER(
   IF(D_I="SI",(Datos!J17-Datos!T17)/Datos!T17,(Datos!J17+Datos!AD17-(Datos!T17+Datos!AL17))/(Datos!T17+Datos!AL17))
     ),IF(D_I="SI",(Datos!J17-Datos!T17)/Datos!T17,(Datos!J17+Datos!AD17-(Datos!T17+Datos!AL17))/(Datos!T17+Datos!AL17))," - ")</f>
        <v>9.0909090909090912E-2</v>
      </c>
      <c r="D17" s="455">
        <f>IF(ISNUMBER(
   IF(D_I="SI",(Datos!K17-Datos!U17)/Datos!U17,(Datos!K17+Datos!AE17-(Datos!U17+Datos!AM17))/(Datos!U17+Datos!AM17))
     ),IF(D_I="SI",(Datos!K17-Datos!U17)/Datos!U17,(Datos!K17+Datos!AE17-(Datos!U17+Datos!AM17))/(Datos!U17+Datos!AM17))," - ")</f>
        <v>5.7049714751426242E-2</v>
      </c>
      <c r="E17" s="455">
        <f>IF(ISNUMBER(
   IF(D_I="SI",(Datos!L17-Datos!V17)/Datos!V17,(Datos!L17+Datos!AF17-(Datos!V17+Datos!AN17))/(Datos!V17+Datos!AN17))
     ),IF(D_I="SI",(Datos!L17-Datos!V17)/Datos!V17,(Datos!L17+Datos!AF17-(Datos!V17+Datos!AN17))/(Datos!V17+Datos!AN17))," - ")</f>
        <v>0.43902439024390244</v>
      </c>
      <c r="F17" s="455">
        <f>IF(ISNUMBER((Datos!M17-Datos!W17)/Datos!W17),(Datos!M17-Datos!W17)/Datos!W17," - ")</f>
        <v>-0.20689655172413793</v>
      </c>
      <c r="G17" s="456">
        <f>IF(ISNUMBER((Datos!N17-Datos!X17)/Datos!X17),(Datos!N17-Datos!X17)/Datos!X17," - ")</f>
        <v>-2.5078369905956112E-2</v>
      </c>
      <c r="H17" s="454">
        <f>IF(ISNUMBER(((NºAsuntos!G17/NºAsuntos!E17)-Datos!BD17)/Datos!BD17),((NºAsuntos!G17/NºAsuntos!E17)-Datos!BD17)/Datos!BD17," - ")</f>
        <v>-3.1037761477859284E-2</v>
      </c>
      <c r="I17" s="455">
        <f>IF(ISNUMBER(((NºAsuntos!I17/NºAsuntos!G17)-Datos!BE17)/Datos!BE17),((NºAsuntos!I17/NºAsuntos!G17)-Datos!BE17)/Datos!BE17," - ")</f>
        <v>0.36135923425541105</v>
      </c>
      <c r="J17" s="460">
        <f>IF(ISNUMBER((('Resol  Asuntos'!D17/NºAsuntos!G17)-Datos!BF17)/Datos!BF17),(('Resol  Asuntos'!D17/NºAsuntos!G17)-Datos!BF17)/Datos!BF17," - ")</f>
        <v>-0.24970090128413039</v>
      </c>
      <c r="K17" s="461">
        <f>IF(ISNUMBER((((NºAsuntos!C17+NºAsuntos!E17)/NºAsuntos!G17)-Datos!BG17)/Datos!BG17),(((NºAsuntos!C17+NºAsuntos!E17)/NºAsuntos!G17)-Datos!BG17)/Datos!BG17," - ")</f>
        <v>6.5099754969109289E-2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0.19110096976611524</v>
      </c>
      <c r="C18" s="854">
        <f>IF(ISNUMBER(
   IF(Criterios!B14="SI",(Datos!J18-Datos!T18)/Datos!T18,(Datos!J18+Datos!AD18-(Datos!T18+Datos!AL18))/(Datos!T18+Datos!AL18))
     ),IF(Criterios!B14="SI",(Datos!J18-Datos!T18)/Datos!T18,(Datos!J18+Datos!AD18-(Datos!T18+Datos!AL18))/(Datos!T18+Datos!AL18))," - ")</f>
        <v>-3.9952091710154847E-2</v>
      </c>
      <c r="D18" s="854">
        <f>IF(ISNUMBER(
   IF(Criterios!B14="SI",(Datos!K18-Datos!U18)/Datos!U18,(Datos!K18+Datos!AE18-(Datos!U18+Datos!AM18))/(Datos!U18+Datos!AM18))
     ),IF(Criterios!B14="SI",(Datos!K18-Datos!U18)/Datos!U18,(Datos!K18+Datos!AE18-(Datos!U18+Datos!AM18))/(Datos!U18+Datos!AM18))," - ")</f>
        <v>-3.4236559139784947E-2</v>
      </c>
      <c r="E18" s="854">
        <f>IF(ISNUMBER(
   IF(Criterios!B14="SI",(Datos!L18-Datos!V18)/Datos!V18,(Datos!L18+Datos!AF18-(Datos!V18+Datos!AN18))/(Datos!V18+Datos!AN18))
     ),IF(Criterios!B14="SI",(Datos!L18-Datos!V18)/Datos!V18,(Datos!L18+Datos!AF18-(Datos!V18+Datos!AN18))/(Datos!V18+Datos!AN18))," - ")</f>
        <v>0.11685823754789272</v>
      </c>
      <c r="F18" s="855">
        <f>IF(ISNUMBER((Datos!M18-Datos!W18)/Datos!W18),(Datos!M18-Datos!W18)/Datos!W18," - ")</f>
        <v>6.2215477996965099E-2</v>
      </c>
      <c r="G18" s="856">
        <f>IF(ISNUMBER((Datos!N18-Datos!X18)/Datos!X18),(Datos!N18-Datos!X18)/Datos!X18," - ")</f>
        <v>-7.2570081215614354E-2</v>
      </c>
      <c r="H18" s="856">
        <f>IF(ISNUMBER(((NºAsuntos!G18/NºAsuntos!E18)-Datos!BD18)/Datos!BD18),((NºAsuntos!G18/NºAsuntos!E18)-Datos!BD18)/Datos!BD18," - ")</f>
        <v>5.9533826604040892E-3</v>
      </c>
      <c r="I18" s="856">
        <f>IF(ISNUMBER(((NºAsuntos!I18/NºAsuntos!G18)-Datos!BE18)/Datos!BE18),((NºAsuntos!I18/NºAsuntos!G18)-Datos!BE18)/Datos!BE18," - ")</f>
        <v>0.15645114558602066</v>
      </c>
      <c r="J18" s="856">
        <f>IF(ISNUMBER((('Resol  Asuntos'!D18/NºAsuntos!G18)-Datos!BF18)/Datos!BF18),(('Resol  Asuntos'!D18/NºAsuntos!G18)-Datos!BF18)/Datos!BF18," - ")</f>
        <v>9.9871286337821316E-2</v>
      </c>
      <c r="K18" s="856">
        <f>IF(ISNUMBER((((NºAsuntos!C18+NºAsuntos!E18)/NºAsuntos!G18)-Datos!BG18)/Datos!BG18),(((NºAsuntos!C18+NºAsuntos!E18)/NºAsuntos!G18)-Datos!BG18)/Datos!BG18," - ")</f>
        <v>2.5282166253115863E-2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0.27638868094026053</v>
      </c>
      <c r="C19" s="801">
        <f>IF(ISNUMBER(
   IF(J_V="SI",(Datos!J19-Datos!T19)/Datos!T19,(Datos!J19+Datos!Z19-(Datos!T19+Datos!AH19))/(Datos!T19+Datos!AH19))
     ),IF(J_V="SI",(Datos!J19-Datos!T19)/Datos!T19,(Datos!J19+Datos!Z19-(Datos!T19+Datos!AH19))/(Datos!T19+Datos!AH19))," - ")</f>
        <v>-8.9667383331225495E-2</v>
      </c>
      <c r="D19" s="801">
        <f>IF(ISNUMBER(
   IF(J_V="SI",(Datos!K19-Datos!U19)/Datos!U19,(Datos!K19+Datos!AA19-(Datos!U19+Datos!AI19))/(Datos!U19+Datos!AI19))
     ),IF(J_V="SI",(Datos!K19-Datos!U19)/Datos!U19,(Datos!K19+Datos!AA19-(Datos!U19+Datos!AI19))/(Datos!U19+Datos!AI19))," - ")</f>
        <v>2.5723182454081865E-3</v>
      </c>
      <c r="E19" s="801">
        <f>IF(ISNUMBER(
   IF(J_V="SI",(Datos!L19-Datos!V19)/Datos!V19,(Datos!L19+Datos!AB19-(Datos!V19+Datos!AJ19))/(Datos!V19+Datos!AJ19))
     ),IF(J_V="SI",(Datos!L19-Datos!V19)/Datos!V19,(Datos!L19+Datos!AB19-(Datos!V19+Datos!AJ19))/(Datos!V19+Datos!AJ19))," - ")</f>
        <v>-2.9442815249266861E-2</v>
      </c>
      <c r="F19" s="802">
        <f>IF(ISNUMBER((Datos!M19-Datos!W19)/Datos!W19),(Datos!M19-Datos!W19)/Datos!W19," - ")</f>
        <v>0.14800261951538965</v>
      </c>
      <c r="G19" s="803">
        <f>IF(ISNUMBER((Datos!N19-Datos!X19)/Datos!X19),(Datos!N19-Datos!X19)/Datos!X19," - ")</f>
        <v>-1.2051609244293209E-2</v>
      </c>
      <c r="H19" s="804">
        <f>IF(ISNUMBER((Tasas!B19-Datos!BD19)/Datos!BD19),(Tasas!B19-Datos!BD19)/Datos!BD19," - ")</f>
        <v>0.10132527373804424</v>
      </c>
      <c r="I19" s="805">
        <f>IF(ISNUMBER((Tasas!C19-Datos!BE19)/Datos!BE19),(Tasas!C19-Datos!BE19)/Datos!BE19," - ")</f>
        <v>-3.1932991677552487E-2</v>
      </c>
      <c r="J19" s="806">
        <f>IF(ISNUMBER((Tasas!D19-Datos!BF19)/Datos!BF19),(Tasas!D19-Datos!BF19)/Datos!BF19," - ")</f>
        <v>-0.55034015799337022</v>
      </c>
      <c r="K19" s="806">
        <f>IF(ISNUMBER((Tasas!E19-Datos!BG19)/Datos!BG19),(Tasas!E19-Datos!BG19)/Datos!BG19," - ")</f>
        <v>-1.1785423438299452E-2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96txE18+YpEMv0I2shIYfAwo/lw6tsT7wcrkkeUVoK4kO/naBQFHVOTAlog8C6f8rCQCav93NdRQcZfVWAFfgA==" saltValue="/GUyx0Qzwlx/5uaSxh3d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GETAFE</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0.75903614457831325</v>
      </c>
      <c r="C10" s="442">
        <f>IF(ISNUMBER(NºAsuntos!I10/NºAsuntos!G10),NºAsuntos!I10/NºAsuntos!G10," - ")</f>
        <v>0.88095238095238093</v>
      </c>
      <c r="D10" s="443">
        <f>IF(ISNUMBER('Resol  Asuntos'!D10/NºAsuntos!G10),'Resol  Asuntos'!D10/NºAsuntos!G10," - ")</f>
        <v>0.33333333333333331</v>
      </c>
      <c r="E10" s="444">
        <f>IF(ISNUMBER((NºAsuntos!C10+NºAsuntos!E10)/NºAsuntos!G10),(NºAsuntos!C10+NºAsuntos!E10)/NºAsuntos!G10," - ")</f>
        <v>1.8809523809523809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1.064373897707231</v>
      </c>
      <c r="C12" s="442">
        <f>IF(ISNUMBER(NºAsuntos!I12/NºAsuntos!G12),NºAsuntos!I12/NºAsuntos!G12," - ")</f>
        <v>0.53677621283255084</v>
      </c>
      <c r="D12" s="443">
        <f>IF(ISNUMBER('Resol  Asuntos'!D12/NºAsuntos!G12),'Resol  Asuntos'!D12/NºAsuntos!G12," - ")</f>
        <v>0.1900027616680475</v>
      </c>
      <c r="E12" s="444">
        <f>IF(ISNUMBER((NºAsuntos!C12+NºAsuntos!E12)/NºAsuntos!G12),(NºAsuntos!C12+NºAsuntos!E12)/NºAsuntos!G12," - ")</f>
        <v>1.5255454294393813</v>
      </c>
      <c r="G12" s="462"/>
    </row>
    <row r="13" spans="1:7" ht="14.25" thickTop="1" thickBot="1">
      <c r="A13" s="847" t="str">
        <f>Datos!A13</f>
        <v>TOTAL</v>
      </c>
      <c r="B13" s="857">
        <f>IF(ISNUMBER(NºAsuntos!G13/NºAsuntos!E13),NºAsuntos!G13/NºAsuntos!E13," - ")</f>
        <v>1.0594870806016197</v>
      </c>
      <c r="C13" s="858">
        <f>IF(ISNUMBER(NºAsuntos!I13/NºAsuntos!G13),NºAsuntos!I13/NºAsuntos!G13," - ")</f>
        <v>0.54072254072254067</v>
      </c>
      <c r="D13" s="859">
        <f>IF(ISNUMBER('Resol  Asuntos'!D13/NºAsuntos!G13),'Resol  Asuntos'!D13/NºAsuntos!G13," - ")</f>
        <v>0.19164619164619165</v>
      </c>
      <c r="E13" s="860">
        <f>IF(ISNUMBER((NºAsuntos!C13+NºAsuntos!E13)/NºAsuntos!G13),(NºAsuntos!C13+NºAsuntos!E13)/NºAsuntos!G13," - ")</f>
        <v>1.5296205296205296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1.0052642235270297</v>
      </c>
      <c r="C16" s="442">
        <f>IF(ISNUMBER(NºAsuntos!I16/NºAsuntos!G16),NºAsuntos!I16/NºAsuntos!G16," - ")</f>
        <v>0.21701913393756295</v>
      </c>
      <c r="D16" s="443">
        <f>IF(ISNUMBER('Resol  Asuntos'!D16/NºAsuntos!G16),'Resol  Asuntos'!D16/NºAsuntos!G16," - ")</f>
        <v>0.13403826787512588</v>
      </c>
      <c r="E16" s="444">
        <f>IF(ISNUMBER((NºAsuntos!C16+NºAsuntos!E16)/NºAsuntos!G16),(NºAsuntos!C16+NºAsuntos!E16)/NºAsuntos!G16," - ")</f>
        <v>1.1926485397784492</v>
      </c>
      <c r="G16" s="462"/>
    </row>
    <row r="17" spans="1:7" ht="21.75" thickBot="1">
      <c r="A17" s="401" t="str">
        <f>Datos!A17</f>
        <v>Jdos. Violencia contra la mujer/Secc Viol. TI.</v>
      </c>
      <c r="B17" s="441">
        <f>IF(ISNUMBER(NºAsuntos!G17/NºAsuntos!E17),NºAsuntos!G17/NºAsuntos!E17," - ")</f>
        <v>0.96502976190476186</v>
      </c>
      <c r="C17" s="442">
        <f>IF(ISNUMBER(NºAsuntos!I17/NºAsuntos!G17),NºAsuntos!I17/NºAsuntos!G17," - ")</f>
        <v>0.13646877409406322</v>
      </c>
      <c r="D17" s="443">
        <f>IF(ISNUMBER('Resol  Asuntos'!D17/NºAsuntos!G17),'Resol  Asuntos'!D17/NºAsuntos!G17," - ")</f>
        <v>5.319969159599075E-2</v>
      </c>
      <c r="E17" s="444">
        <f>IF(ISNUMBER((NºAsuntos!C17+NºAsuntos!E17)/NºAsuntos!G17),(NºAsuntos!C17+NºAsuntos!E17)/NºAsuntos!G17," - ")</f>
        <v>1.1310717039321512</v>
      </c>
      <c r="G17" s="462"/>
    </row>
    <row r="18" spans="1:7" ht="14.25" thickTop="1" thickBot="1">
      <c r="A18" s="847" t="str">
        <f>Datos!A18</f>
        <v>TOTAL</v>
      </c>
      <c r="B18" s="857">
        <f>IF(ISNUMBER(NºAsuntos!G18/NºAsuntos!E18),NºAsuntos!G18/NºAsuntos!E18," - ")</f>
        <v>1.0004455533772947</v>
      </c>
      <c r="C18" s="858">
        <f>IF(ISNUMBER(NºAsuntos!I18/NºAsuntos!G18),NºAsuntos!I18/NºAsuntos!G18," - ")</f>
        <v>0.20771354769751493</v>
      </c>
      <c r="D18" s="861">
        <f>IF(ISNUMBER('Resol  Asuntos'!D18/NºAsuntos!G18),'Resol  Asuntos'!D18/NºAsuntos!G18," - ")</f>
        <v>0.12469938541017191</v>
      </c>
      <c r="E18" s="860">
        <f>IF(ISNUMBER((NºAsuntos!C18+NºAsuntos!E18)/NºAsuntos!G18),(NºAsuntos!C18+NºAsuntos!E18)/NºAsuntos!G18," - ")</f>
        <v>1.1855348712924201</v>
      </c>
      <c r="G18" s="462"/>
    </row>
    <row r="19" spans="1:7" ht="15.75" customHeight="1" thickTop="1" thickBot="1">
      <c r="A19" s="792" t="str">
        <f>Datos!A19</f>
        <v>TOTAL JURISDICCIONES</v>
      </c>
      <c r="B19" s="807">
        <f>IF(ISNUMBER(NºAsuntos!G19/NºAsuntos!E19),NºAsuntos!G19/NºAsuntos!E19," - ")</f>
        <v>1.0288042974900435</v>
      </c>
      <c r="C19" s="808">
        <f>IF(ISNUMBER(NºAsuntos!I19/NºAsuntos!G19),NºAsuntos!I19/NºAsuntos!G19," - ")</f>
        <v>0.37243428159884767</v>
      </c>
      <c r="D19" s="809">
        <f>IF(ISNUMBER('Resol  Asuntos'!D19/NºAsuntos!G19),'Resol  Asuntos'!D19/NºAsuntos!G19," - ")</f>
        <v>0.15781418797263233</v>
      </c>
      <c r="E19" s="810">
        <f>IF(ISNUMBER((NºAsuntos!C19+NºAsuntos!E19)/NºAsuntos!G19),(NºAsuntos!C19+NºAsuntos!E19)/NºAsuntos!G19," - ")</f>
        <v>1.3557346056895931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GI84dD9XL4uj/Wnpc9Y7aRkzLgnez2CfosU4Asg3GzjKOIZo4hFwvv71EH+hMw0H/J/fBeVI2hkOTheCEqzUg==" saltValue="2VwVnpCFbEY/B2UTWmljF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GETAFE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71</v>
      </c>
      <c r="G10" s="332">
        <f>IF(ISNUMBER(Datos!I10),Datos!I10," - ")</f>
        <v>71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126</v>
      </c>
      <c r="X10" s="225">
        <f>IF(ISNUMBER(Datos!Q10),Datos!Q10," - ")</f>
        <v>14</v>
      </c>
      <c r="Y10" s="333">
        <f t="shared" ref="Y10:Y12" si="0">SUM(W10:X10)</f>
        <v>140</v>
      </c>
      <c r="Z10" s="334" t="str">
        <f>IF(ISNUMBER(Datos!CC10),Datos!CC10," - ")</f>
        <v xml:space="preserve"> - </v>
      </c>
      <c r="AA10" s="331">
        <f>IF(ISNUMBER(Datos!L10),Datos!L10,"-")</f>
        <v>111</v>
      </c>
      <c r="AB10" s="333">
        <f>IF(ISNUMBER(Datos!R10),Datos!R10," - ")</f>
        <v>54</v>
      </c>
      <c r="AC10" s="333">
        <f t="shared" ref="AC10:AC12" si="1">IF(ISNUMBER(AA10+AB10),AA10+AB10," - ")</f>
        <v>165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42</v>
      </c>
      <c r="AJ10" s="230" t="str">
        <f>IF(ISNUMBER(Datos!BW10),Datos!BW10," - ")</f>
        <v xml:space="preserve"> - </v>
      </c>
      <c r="AK10" s="231" t="str">
        <f>IF(ISNUMBER(Datos!BX10),Datos!BX10," - ")</f>
        <v xml:space="preserve"> - </v>
      </c>
      <c r="AL10" s="242">
        <f>IF(ISNUMBER(NºAsuntos!G10/NºAsuntos!E10),NºAsuntos!G10/NºAsuntos!E10," - ")</f>
        <v>0.75903614457831325</v>
      </c>
      <c r="AM10" s="259">
        <f>IF(ISNUMBER(((NºAsuntos!I10/NºAsuntos!G10)*11)/factor_trimestre),((NºAsuntos!I10/NºAsuntos!G10)*11)/factor_trimestre," - ")</f>
        <v>9.6904761904761898</v>
      </c>
      <c r="AN10" s="243">
        <f>IF(ISNUMBER('Resol  Asuntos'!D10/NºAsuntos!G10),'Resol  Asuntos'!D10/NºAsuntos!G10," - ")</f>
        <v>0.33333333333333331</v>
      </c>
      <c r="AO10" s="244">
        <f>IF(ISNUMBER((NºAsuntos!C10+NºAsuntos!E10)/NºAsuntos!G10),(NºAsuntos!C10+NºAsuntos!E10)/NºAsuntos!G10," - ")</f>
        <v>1.8809523809523809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1959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2020</v>
      </c>
      <c r="Y12" s="333">
        <f t="shared" si="0"/>
        <v>2020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7607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2064</v>
      </c>
      <c r="AJ12" s="228" t="str">
        <f>IF(ISNUMBER(Datos!BW12),Datos!BW12," - ")</f>
        <v xml:space="preserve"> - </v>
      </c>
      <c r="AK12" s="227" t="str">
        <f>IF(ISNUMBER(Datos!BX12),Datos!BX12," - ")</f>
        <v xml:space="preserve"> - </v>
      </c>
      <c r="AL12" s="242">
        <f>IF(ISNUMBER(NºAsuntos!G12/NºAsuntos!E12),NºAsuntos!G12/NºAsuntos!E12," - ")</f>
        <v>1.064373897707231</v>
      </c>
      <c r="AM12" s="259">
        <f>IF(ISNUMBER(((NºAsuntos!I12/NºAsuntos!G12)*11)/factor_trimestre),((NºAsuntos!I12/NºAsuntos!G12)*11)/factor_trimestre," - ")</f>
        <v>5.9045383411580588</v>
      </c>
      <c r="AN12" s="243">
        <f>IF(ISNUMBER('Resol  Asuntos'!D12/NºAsuntos!G12),'Resol  Asuntos'!D12/NºAsuntos!G12," - ")</f>
        <v>0.1900027616680475</v>
      </c>
      <c r="AO12" s="244">
        <f>IF(ISNUMBER((NºAsuntos!C12+NºAsuntos!E12)/NºAsuntos!G12),(NºAsuntos!C12+NºAsuntos!E12)/NºAsuntos!G12," - ")</f>
        <v>1.5255454294393813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71</v>
      </c>
      <c r="G13" s="865">
        <f t="shared" si="3"/>
        <v>71</v>
      </c>
      <c r="H13" s="864">
        <f t="shared" si="3"/>
        <v>0</v>
      </c>
      <c r="I13" s="866">
        <f t="shared" si="3"/>
        <v>0</v>
      </c>
      <c r="J13" s="866">
        <f t="shared" si="3"/>
        <v>0</v>
      </c>
      <c r="K13" s="866">
        <f t="shared" si="3"/>
        <v>0</v>
      </c>
      <c r="L13" s="866">
        <f t="shared" si="3"/>
        <v>1974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126</v>
      </c>
      <c r="X13" s="866">
        <f t="shared" si="4"/>
        <v>2034</v>
      </c>
      <c r="Y13" s="867">
        <f t="shared" si="4"/>
        <v>2160</v>
      </c>
      <c r="Z13" s="867">
        <f t="shared" si="4"/>
        <v>0</v>
      </c>
      <c r="AA13" s="867">
        <f t="shared" si="4"/>
        <v>111</v>
      </c>
      <c r="AB13" s="867">
        <f t="shared" si="4"/>
        <v>7661</v>
      </c>
      <c r="AC13" s="867">
        <f t="shared" si="4"/>
        <v>165</v>
      </c>
      <c r="AD13" s="867">
        <f t="shared" si="4"/>
        <v>0</v>
      </c>
      <c r="AE13" s="871">
        <f t="shared" si="4"/>
        <v>0</v>
      </c>
      <c r="AF13" s="864">
        <f t="shared" si="4"/>
        <v>0</v>
      </c>
      <c r="AG13" s="872">
        <f t="shared" si="4"/>
        <v>0</v>
      </c>
      <c r="AH13" s="869">
        <f t="shared" si="4"/>
        <v>0</v>
      </c>
      <c r="AI13" s="864">
        <f t="shared" si="4"/>
        <v>2106</v>
      </c>
      <c r="AJ13" s="866">
        <f t="shared" si="4"/>
        <v>0</v>
      </c>
      <c r="AK13" s="869">
        <f>SUBTOTAL(9,AK9:AK12)</f>
        <v>0</v>
      </c>
      <c r="AL13" s="873">
        <f>IF(ISNUMBER(NºAsuntos!G13/NºAsuntos!E13),NºAsuntos!G13/NºAsuntos!E13," - ")</f>
        <v>1.0594870806016197</v>
      </c>
      <c r="AM13" s="873">
        <f>IF(ISNUMBER(((NºAsuntos!I13/NºAsuntos!G13)*11)/factor_trimestre),((NºAsuntos!I13/NºAsuntos!G13)*11)/factor_trimestre," - ")</f>
        <v>5.9479479479479469</v>
      </c>
      <c r="AN13" s="874">
        <f>IF(ISNUMBER('Resol  Asuntos'!D13/NºAsuntos!G13),'Resol  Asuntos'!D13/NºAsuntos!G13," - ")</f>
        <v>0.19164619164619165</v>
      </c>
      <c r="AO13" s="875">
        <f>IF(ISNUMBER((NºAsuntos!C13+NºAsuntos!E13)/NºAsuntos!G13),(NºAsuntos!C13+NºAsuntos!E13)/NºAsuntos!G13," - ")</f>
        <v>1.5296205296205296</v>
      </c>
      <c r="AP13" s="876" t="str">
        <f t="shared" si="2"/>
        <v xml:space="preserve"> - </v>
      </c>
      <c r="AQ13" s="876">
        <f>IF(ISNUMBER((H13-W13+K13)/(F13)),(H13-W13+K13)/(F13)," - ")</f>
        <v>-1.7746478873239437</v>
      </c>
      <c r="AR13" s="877">
        <f>IF(ISNUMBER((Datos!P13-Datos!Q13)/(Datos!R13-Datos!P13+Datos!Q13)),(Datos!P13-Datos!Q13)/(Datos!R13-Datos!P13+Datos!Q13)," - ")</f>
        <v>-7.7710141173423135E-3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2207</v>
      </c>
      <c r="G16" s="332">
        <f>IF(ISNUMBER(IF(D_I="SI",Datos!I16,Datos!I16+Datos!AC16)),IF(D_I="SI",Datos!I16,Datos!I16+Datos!AC16)," - ")</f>
        <v>1965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540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9930</v>
      </c>
      <c r="X16" s="225">
        <f>IF(ISNUMBER(Datos!Q16),Datos!Q16," - ")</f>
        <v>539</v>
      </c>
      <c r="Y16" s="333">
        <f t="shared" ref="Y16:Y17" si="7">SUM(W16:X16)</f>
        <v>10469</v>
      </c>
      <c r="Z16" s="334" t="str">
        <f>IF(ISNUMBER(Datos!CC16),Datos!CC16," - ")</f>
        <v xml:space="preserve"> - </v>
      </c>
      <c r="AA16" s="331">
        <f>IF(ISNUMBER(IF(D_I="SI",Datos!L16,Datos!L16+Datos!AF16)),IF(D_I="SI",Datos!L16,Datos!L16+Datos!AF16)," - ")</f>
        <v>2155</v>
      </c>
      <c r="AB16" s="333">
        <f>IF(ISNUMBER(Datos!R16),Datos!R16," - ")</f>
        <v>465</v>
      </c>
      <c r="AC16" s="333">
        <f t="shared" si="6"/>
        <v>2620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1331</v>
      </c>
      <c r="AJ16" s="230" t="str">
        <f>IF(ISNUMBER(Datos!BW16),Datos!BW16," - ")</f>
        <v xml:space="preserve"> - </v>
      </c>
      <c r="AK16" s="231" t="str">
        <f>IF(ISNUMBER(Datos!BX16),Datos!BX16," - ")</f>
        <v xml:space="preserve"> - </v>
      </c>
      <c r="AL16" s="242">
        <f>IF(ISNUMBER(NºAsuntos!G16/NºAsuntos!E16),NºAsuntos!G16/NºAsuntos!E16," - ")</f>
        <v>1.0052642235270297</v>
      </c>
      <c r="AM16" s="259">
        <f>IF(ISNUMBER(((NºAsuntos!I16/NºAsuntos!G16)*11)/factor_trimestre),((NºAsuntos!I16/NºAsuntos!G16)*11)/factor_trimestre," - ")</f>
        <v>2.3872104733131922</v>
      </c>
      <c r="AN16" s="243">
        <f>IF(ISNUMBER('Resol  Asuntos'!D16/NºAsuntos!G16),'Resol  Asuntos'!D16/NºAsuntos!G16," - ")</f>
        <v>0.13403826787512588</v>
      </c>
      <c r="AO16" s="244">
        <f>IF(ISNUMBER((NºAsuntos!C16+NºAsuntos!E16)/NºAsuntos!G16),(NºAsuntos!C16+NºAsuntos!E16)/NºAsuntos!G16," - ")</f>
        <v>1.1926485397784492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123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1297</v>
      </c>
      <c r="X17" s="225">
        <f>IF(ISNUMBER(Datos!Q17),Datos!Q17," - ")</f>
        <v>5</v>
      </c>
      <c r="Y17" s="333">
        <f t="shared" si="7"/>
        <v>1302</v>
      </c>
      <c r="Z17" s="334" t="str">
        <f>IF(ISNUMBER(Datos!CC17),Datos!CC17," - ")</f>
        <v xml:space="preserve"> - </v>
      </c>
      <c r="AA17" s="331">
        <f>IF(ISNUMBER(Datos!L17),Datos!L17,"-")</f>
        <v>177</v>
      </c>
      <c r="AB17" s="333">
        <f>IF(ISNUMBER(Datos!R17),Datos!R17," - ")</f>
        <v>5</v>
      </c>
      <c r="AC17" s="333">
        <f t="shared" si="6"/>
        <v>182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69</v>
      </c>
      <c r="AJ17" s="230" t="str">
        <f>IF(ISNUMBER(Datos!BW17),Datos!BW17," - ")</f>
        <v xml:space="preserve"> - </v>
      </c>
      <c r="AK17" s="231" t="str">
        <f>IF(ISNUMBER(Datos!BX17),Datos!BX17," - ")</f>
        <v xml:space="preserve"> - </v>
      </c>
      <c r="AL17" s="242">
        <f>IF(ISNUMBER(NºAsuntos!G17/NºAsuntos!E17),NºAsuntos!G17/NºAsuntos!E17," - ")</f>
        <v>0.96502976190476186</v>
      </c>
      <c r="AM17" s="259">
        <f>IF(ISNUMBER(((NºAsuntos!I17/NºAsuntos!G17)*11)/factor_trimestre),((NºAsuntos!I17/NºAsuntos!G17)*11)/factor_trimestre," - ")</f>
        <v>1.5011565150346953</v>
      </c>
      <c r="AN17" s="243">
        <f>IF(ISNUMBER('Resol  Asuntos'!D17/NºAsuntos!G17),'Resol  Asuntos'!D17/NºAsuntos!G17," - ")</f>
        <v>5.319969159599075E-2</v>
      </c>
      <c r="AO17" s="244">
        <f>IF(ISNUMBER((NºAsuntos!C17+NºAsuntos!E17)/NºAsuntos!G17),(NºAsuntos!C17+NºAsuntos!E17)/NºAsuntos!G17," - ")</f>
        <v>1.1310717039321512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2207</v>
      </c>
      <c r="G18" s="865">
        <f>SUBTOTAL(9,G15:G17)</f>
        <v>2088</v>
      </c>
      <c r="H18" s="864">
        <f t="shared" ref="H18:O18" si="10">SUBTOTAL(9,H14:H17)</f>
        <v>0</v>
      </c>
      <c r="I18" s="866">
        <f t="shared" si="10"/>
        <v>0</v>
      </c>
      <c r="J18" s="866">
        <f t="shared" si="10"/>
        <v>0</v>
      </c>
      <c r="K18" s="866">
        <f t="shared" si="10"/>
        <v>0</v>
      </c>
      <c r="L18" s="866">
        <f t="shared" si="10"/>
        <v>548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11227</v>
      </c>
      <c r="X18" s="866">
        <f t="shared" si="11"/>
        <v>544</v>
      </c>
      <c r="Y18" s="867">
        <f t="shared" si="11"/>
        <v>11771</v>
      </c>
      <c r="Z18" s="867">
        <f t="shared" si="11"/>
        <v>0</v>
      </c>
      <c r="AA18" s="867">
        <f t="shared" si="11"/>
        <v>2332</v>
      </c>
      <c r="AB18" s="867">
        <f t="shared" si="11"/>
        <v>470</v>
      </c>
      <c r="AC18" s="867">
        <f t="shared" si="11"/>
        <v>2802</v>
      </c>
      <c r="AD18" s="867">
        <f t="shared" si="11"/>
        <v>0</v>
      </c>
      <c r="AE18" s="871">
        <f t="shared" si="11"/>
        <v>0</v>
      </c>
      <c r="AF18" s="864">
        <f t="shared" si="11"/>
        <v>0</v>
      </c>
      <c r="AG18" s="872">
        <f t="shared" si="11"/>
        <v>0</v>
      </c>
      <c r="AH18" s="869">
        <f t="shared" si="11"/>
        <v>0</v>
      </c>
      <c r="AI18" s="864">
        <f t="shared" si="11"/>
        <v>1400</v>
      </c>
      <c r="AJ18" s="866">
        <f t="shared" si="11"/>
        <v>0</v>
      </c>
      <c r="AK18" s="869">
        <f t="shared" si="11"/>
        <v>0</v>
      </c>
      <c r="AL18" s="873">
        <f>IF(ISNUMBER(NºAsuntos!G18/NºAsuntos!E18),NºAsuntos!G18/NºAsuntos!E18," - ")</f>
        <v>1.0004455533772947</v>
      </c>
      <c r="AM18" s="873">
        <f>IF(ISNUMBER(((NºAsuntos!I18/NºAsuntos!G18)*11)/factor_trimestre),((NºAsuntos!I18/NºAsuntos!G18)*11)/factor_trimestre," - ")</f>
        <v>2.2848490246726643</v>
      </c>
      <c r="AN18" s="874">
        <f>IF(ISNUMBER('Resol  Asuntos'!D18/NºAsuntos!G18),'Resol  Asuntos'!D18/NºAsuntos!G18," - ")</f>
        <v>0.12469938541017191</v>
      </c>
      <c r="AO18" s="875">
        <f>IF(ISNUMBER((NºAsuntos!C18+NºAsuntos!E18)/NºAsuntos!G18),(NºAsuntos!C18+NºAsuntos!E18)/NºAsuntos!G18," - ")</f>
        <v>1.1855348712924201</v>
      </c>
      <c r="AP18" s="876" t="str">
        <f t="shared" si="2"/>
        <v xml:space="preserve"> - </v>
      </c>
      <c r="AQ18" s="876">
        <f>IF(ISNUMBER((H18-W18+K18)/(F18)),(H18-W18+K18)/(F18)," - ")</f>
        <v>-5.0869959220661531</v>
      </c>
      <c r="AR18" s="877">
        <f>IF(ISNUMBER((Datos!P18-Datos!Q18)/(Datos!R18-Datos!P18+Datos!Q18)),(Datos!P18-Datos!Q18)/(Datos!R18-Datos!P18+Datos!Q18)," - ")</f>
        <v>8.5836909871244635E-3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2278</v>
      </c>
      <c r="G19" s="820">
        <f t="shared" si="13"/>
        <v>2159</v>
      </c>
      <c r="H19" s="819">
        <f t="shared" si="13"/>
        <v>0</v>
      </c>
      <c r="I19" s="821">
        <f t="shared" si="13"/>
        <v>0</v>
      </c>
      <c r="J19" s="821">
        <f t="shared" si="13"/>
        <v>0</v>
      </c>
      <c r="K19" s="880">
        <f t="shared" si="13"/>
        <v>0</v>
      </c>
      <c r="L19" s="821">
        <f t="shared" si="13"/>
        <v>2522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11353</v>
      </c>
      <c r="X19" s="820">
        <f t="shared" si="14"/>
        <v>2578</v>
      </c>
      <c r="Y19" s="827">
        <f t="shared" si="14"/>
        <v>13931</v>
      </c>
      <c r="Z19" s="827">
        <f t="shared" si="14"/>
        <v>0</v>
      </c>
      <c r="AA19" s="827">
        <f t="shared" si="14"/>
        <v>2443</v>
      </c>
      <c r="AB19" s="827">
        <f t="shared" si="14"/>
        <v>8131</v>
      </c>
      <c r="AC19" s="827">
        <f t="shared" si="14"/>
        <v>2967</v>
      </c>
      <c r="AD19" s="827">
        <f t="shared" si="14"/>
        <v>0</v>
      </c>
      <c r="AE19" s="829">
        <f t="shared" si="14"/>
        <v>0</v>
      </c>
      <c r="AF19" s="830">
        <f t="shared" si="14"/>
        <v>0</v>
      </c>
      <c r="AG19" s="831">
        <f t="shared" si="14"/>
        <v>0</v>
      </c>
      <c r="AH19" s="829">
        <f t="shared" si="14"/>
        <v>0</v>
      </c>
      <c r="AI19" s="819">
        <f t="shared" si="14"/>
        <v>3506</v>
      </c>
      <c r="AJ19" s="819">
        <f t="shared" si="14"/>
        <v>0</v>
      </c>
      <c r="AK19" s="829">
        <f t="shared" si="14"/>
        <v>0</v>
      </c>
      <c r="AL19" s="883">
        <f>IF(ISNUMBER(NºAsuntos!G19/NºAsuntos!E19),NºAsuntos!G19/NºAsuntos!E19," - ")</f>
        <v>1.0288042974900435</v>
      </c>
      <c r="AM19" s="884">
        <f>IF(ISNUMBER(((NºAsuntos!I19/NºAsuntos!G19)*11)/factor_trimestre),((NºAsuntos!I19/NºAsuntos!G19)*11)/factor_trimestre," - ")</f>
        <v>4.0967770975873243</v>
      </c>
      <c r="AN19" s="884">
        <f>IF(ISNUMBER('Resol  Asuntos'!D19/NºAsuntos!G19),'Resol  Asuntos'!D19/NºAsuntos!G19," - ")</f>
        <v>0.15781418797263233</v>
      </c>
      <c r="AO19" s="885">
        <f>IF(ISNUMBER((NºAsuntos!C19+NºAsuntos!E19)/NºAsuntos!G19),(NºAsuntos!C19+NºAsuntos!E19)/NºAsuntos!G19," - ")</f>
        <v>1.3557346056895931</v>
      </c>
      <c r="AP19" s="886" t="str">
        <f t="shared" si="2"/>
        <v xml:space="preserve"> - </v>
      </c>
      <c r="AQ19" s="887">
        <f>IF(OR(ISNUMBER(FIND("01",Criterios!A8,1)),ISNUMBER(FIND("02",Criterios!A8,1)),ISNUMBER(FIND("03",Criterios!A8,1)),ISNUMBER(FIND("04",Criterios!A8,1))),(I19-W19+K19)/(F19-K19),(H19-W19+K19)/(F19-K19))</f>
        <v>-4.9837576821773482</v>
      </c>
      <c r="AR19" s="888">
        <f>IF(ISNUMBER((Datos!P19-Datos!Q19)/(Datos!R19-Datos!P19+Datos!Q19)),(Datos!P19-Datos!Q19)/(Datos!R19-Datos!P19+Datos!Q19)," - ")</f>
        <v>-6.8401123732747034E-3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863.6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4.3011626335213133</v>
      </c>
      <c r="F21" s="251">
        <f>IF(ISNUMBER(STDEV(F8:F18)),STDEV(F8:F18),"-")</f>
        <v>1233.2201749890407</v>
      </c>
      <c r="G21" s="252">
        <f>IF(ISNUMBER(STDEV(G8:G18)),STDEV(G8:G18),"-")</f>
        <v>1062.68000828095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5550.9436765292439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920.73094151693772</v>
      </c>
      <c r="AJ21" s="251">
        <f t="shared" si="18"/>
        <v>0</v>
      </c>
      <c r="AK21" s="253">
        <f t="shared" si="18"/>
        <v>0</v>
      </c>
      <c r="AL21" s="248">
        <f t="shared" si="18"/>
        <v>0.11262925736287326</v>
      </c>
      <c r="AM21" s="249">
        <f t="shared" si="18"/>
        <v>3.1397030018244974</v>
      </c>
      <c r="AN21" s="249">
        <f t="shared" si="18"/>
        <v>9.4367546912135003E-2</v>
      </c>
      <c r="AO21" s="250">
        <f t="shared" si="18"/>
        <v>0.29149530086761388</v>
      </c>
      <c r="AP21" s="290" t="str">
        <f t="shared" si="18"/>
        <v>-</v>
      </c>
      <c r="AQ21" s="291">
        <f t="shared" si="18"/>
        <v>2.3421837570161506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MFRDkGAzdkjTTky6rIhmjxj2MHktyYPZixbZBOSPZpY+gNV6df7C9yzfEUQ+RBYrjZ75Js64sdvEE3lkhm6rwA==" saltValue="UoIimYC1HjgvBS6FtB+Rv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GETAFE</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1.5357142857142858</v>
      </c>
      <c r="E10" s="347">
        <f>IF(ISNUMBER((Datos!J10-Datos!T10)/Datos!T10),(Datos!J10-Datos!T10)/Datos!T10," - ")</f>
        <v>4.40251572327044E-2</v>
      </c>
      <c r="F10" s="347">
        <f>IF(ISNUMBER((Datos!K10-Datos!U10)/Datos!U10),(Datos!K10-Datos!U10)/Datos!U10," - ")</f>
        <v>8.6206896551724144E-2</v>
      </c>
      <c r="G10" s="348">
        <f>IF(ISNUMBER((Datos!L10-Datos!V10)/Datos!V10),(Datos!L10-Datos!V10)/Datos!V10," - ")</f>
        <v>0.56338028169014087</v>
      </c>
      <c r="H10" s="229">
        <f>IF(ISNUMBER((Datos!M10-Datos!W10)/Datos!W10),(Datos!M10-Datos!W10)/Datos!W10," - ")</f>
        <v>2.4390243902439025E-2</v>
      </c>
      <c r="I10" s="349">
        <f>IF(ISNUMBER((Tasas!C10-Datos!BE10)/Datos!BE10),(Tasas!C10-Datos!BE10)/Datos!BE10," - ")</f>
        <v>0.43930248155600277</v>
      </c>
      <c r="J10" s="348">
        <f>IF(ISNUMBER((Tasas!D10-Datos!BF10)/Datos!BF10),(Tasas!D10-Datos!BF10)/Datos!BF10," - ")</f>
        <v>-5.6910569105691068E-2</v>
      </c>
      <c r="K10" s="350">
        <f>IF(ISNUMBER((Tasas!E10-Datos!BG10)/Datos!BG10),(Tasas!E10-Datos!BG10)/Datos!BG10," - ")</f>
        <v>0.16679399032340211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0.2176991150442478</v>
      </c>
      <c r="I12" s="349">
        <f>IF(ISNUMBER((Tasas!C12-Datos!BE12)/Datos!BE12),(Tasas!C12-Datos!BE12)/Datos!BE12," - ")</f>
        <v>-0.12156227061113499</v>
      </c>
      <c r="J12" s="348">
        <f>IF(ISNUMBER((Tasas!D12-Datos!BF12)/Datos!BF12),(Tasas!D12-Datos!BF12)/Datos!BF12," - ")</f>
        <v>-0.69157856480870694</v>
      </c>
      <c r="K12" s="350">
        <f>IF(ISNUMBER((Tasas!E12-Datos!BG12)/Datos!BG12),(Tasas!E12-Datos!BG12)/Datos!BG12," - ")</f>
        <v>-5.2344387102768182E-2</v>
      </c>
      <c r="M12" t="e">
        <f>IF(Monitorios="SI",Datos!CE12,0)</f>
        <v>#REF!</v>
      </c>
      <c r="N12" t="e">
        <f>IF(Monitorios="SI",Datos!CF12,0)</f>
        <v>#REF!</v>
      </c>
      <c r="O12" t="e">
        <f>IF(Monitorios="SI",Datos!CG12,0)</f>
        <v>#REF!</v>
      </c>
      <c r="P12" t="e">
        <f>IF(Monitorios="SI",Datos!CH12,0)</f>
        <v>#REF!</v>
      </c>
      <c r="Q12">
        <f>IF(J_V="SI",0,Datos!AG12)</f>
        <v>204</v>
      </c>
      <c r="R12">
        <f>IF(J_V="SI",0,Datos!AH12)</f>
        <v>660</v>
      </c>
      <c r="S12">
        <f>IF(J_V="SI",0,Datos!AI12)</f>
        <v>691</v>
      </c>
      <c r="T12">
        <f>IF(J_V="SI",0,Datos!AJ12)</f>
        <v>178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0.21313364055299538</v>
      </c>
      <c r="I13" s="356">
        <f>IF(ISNUMBER((Tasas!C13-Datos!BE13)/Datos!BE13),(Tasas!C13-Datos!BE13)/Datos!BE13," - ")</f>
        <v>-0.11512020444753095</v>
      </c>
      <c r="J13" s="354">
        <f>IF(ISNUMBER((Tasas!D13-Datos!BF13)/Datos!BF13),(Tasas!D13-Datos!BF13)/Datos!BF13," - ")</f>
        <v>-0.68744372460117931</v>
      </c>
      <c r="K13" s="357">
        <f>IF(ISNUMBER((Tasas!E13-Datos!BG13)/Datos!BG13),(Tasas!E13-Datos!BG13)/Datos!BG13," - ")</f>
        <v>-4.9827653082753873E-2</v>
      </c>
      <c r="M13" t="e">
        <f>IF(Monitorios="SI",Datos!CE13,0)</f>
        <v>#REF!</v>
      </c>
      <c r="N13" t="e">
        <f>IF(Monitorios="SI",Datos!CF13,0)</f>
        <v>#REF!</v>
      </c>
      <c r="O13" t="e">
        <f>IF(Monitorios="SI",Datos!CG13,0)</f>
        <v>#REF!</v>
      </c>
      <c r="P13" t="e">
        <f>IF(Monitorios="SI",Datos!CH13,0)</f>
        <v>#REF!</v>
      </c>
      <c r="Q13">
        <f>IF(J_V="SI",0,Datos!AG13)</f>
        <v>204</v>
      </c>
      <c r="R13">
        <f>IF(J_V="SI",0,Datos!AH13)</f>
        <v>660</v>
      </c>
      <c r="S13">
        <f>IF(J_V="SI",0,Datos!AI13)</f>
        <v>691</v>
      </c>
      <c r="T13">
        <f>IF(J_V="SI",0,Datos!AJ13)</f>
        <v>178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0.16825208085612367</v>
      </c>
      <c r="E16" s="347">
        <f>IF(ISNUMBER(
   IF(D_I="SI",(Datos!J16-Datos!T16)/Datos!T16,(Datos!J16+Datos!AD16-(Datos!T16+Datos!AL16))/(Datos!T16+Datos!AL16))
     ),IF(D_I="SI",(Datos!J16-Datos!T16)/Datos!T16,(Datos!J16+Datos!AD16-(Datos!T16+Datos!AL16))/(Datos!T16+Datos!AL16))," - ")</f>
        <v>-5.5369608874438175E-2</v>
      </c>
      <c r="F16" s="347">
        <f>IF(ISNUMBER(
   IF(D_I="SI",(Datos!K16-Datos!U16)/Datos!U16,(Datos!K16+Datos!AE16-(Datos!U16+Datos!AM16))/(Datos!U16+Datos!AM16))
     ),IF(D_I="SI",(Datos!K16-Datos!U16)/Datos!U16,(Datos!K16+Datos!AE16-(Datos!U16+Datos!AM16))/(Datos!U16+Datos!AM16))," - ")</f>
        <v>-4.5008655510675129E-2</v>
      </c>
      <c r="G16" s="348">
        <f>IF(ISNUMBER(
   IF(D_I="SI",(Datos!L16-Datos!V16)/Datos!V16,(Datos!L16+Datos!AF16-(Datos!V16+Datos!AN16))/(Datos!V16+Datos!AN16))
     ),IF(D_I="SI",(Datos!L16-Datos!V16)/Datos!V16,(Datos!L16+Datos!AF16-(Datos!V16+Datos!AN16))/(Datos!V16+Datos!AN16))," - ")</f>
        <v>9.6692111959287536E-2</v>
      </c>
      <c r="H16" s="229">
        <f>IF(ISNUMBER((Datos!M16-Datos!W16)/Datos!W16),(Datos!M16-Datos!W16)/Datos!W16," - ")</f>
        <v>8.1234768480909825E-2</v>
      </c>
      <c r="I16" s="349">
        <f>IF(ISNUMBER((Tasas!C16-Datos!BE16)/Datos!BE16),(Tasas!C16-Datos!BE16)/Datos!BE16," - ")</f>
        <v>0.14837911179785215</v>
      </c>
      <c r="J16" s="348">
        <f>IF(ISNUMBER((Tasas!D16-Datos!BF16)/Datos!BF16),(Tasas!D16-Datos!BF16)/Datos!BF16," - ")</f>
        <v>0.1321932651223062</v>
      </c>
      <c r="K16" s="350">
        <f>IF(ISNUMBER((Tasas!E16-Datos!BG16)/Datos!BG16),(Tasas!E16-Datos!BG16)/Datos!BG16," - ")</f>
        <v>2.1596467305075855E-2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0.73239436619718312</v>
      </c>
      <c r="E17" s="347">
        <f>IF(ISNUMBER(
   IF(D_I="SI",(Datos!J17-Datos!T17)/Datos!T17,(Datos!J17+Datos!AD17-(Datos!T17+Datos!AL17))/(Datos!T17+Datos!AL17))
     ),IF(D_I="SI",(Datos!J17-Datos!T17)/Datos!T17,(Datos!J17+Datos!AD17-(Datos!T17+Datos!AL17))/(Datos!T17+Datos!AL17))," - ")</f>
        <v>9.0909090909090912E-2</v>
      </c>
      <c r="F17" s="347">
        <f>IF(ISNUMBER(
   IF(D_I="SI",(Datos!K17-Datos!U17)/Datos!U17,(Datos!K17+Datos!AE17-(Datos!U17+Datos!AM17))/(Datos!U17+Datos!AM17))
     ),IF(D_I="SI",(Datos!K17-Datos!U17)/Datos!U17,(Datos!K17+Datos!AE17-(Datos!U17+Datos!AM17))/(Datos!U17+Datos!AM17))," - ")</f>
        <v>5.7049714751426242E-2</v>
      </c>
      <c r="G17" s="348">
        <f>IF(ISNUMBER(
   IF(D_I="SI",(Datos!L17-Datos!V17)/Datos!V17,(Datos!L17+Datos!AF17-(Datos!V17+Datos!AN17))/(Datos!V17+Datos!AN17))
     ),IF(D_I="SI",(Datos!L17-Datos!V17)/Datos!V17,(Datos!L17+Datos!AF17-(Datos!V17+Datos!AN17))/(Datos!V17+Datos!AN17))," - ")</f>
        <v>0.43902439024390244</v>
      </c>
      <c r="H17" s="229">
        <f>IF(ISNUMBER((Datos!M17-Datos!W17)/Datos!W17),(Datos!M17-Datos!W17)/Datos!W17," - ")</f>
        <v>-0.20689655172413793</v>
      </c>
      <c r="I17" s="349">
        <f>IF(ISNUMBER((Tasas!C17-Datos!BE17)/Datos!BE17),(Tasas!C17-Datos!BE17)/Datos!BE17," - ")</f>
        <v>0.36135923425541105</v>
      </c>
      <c r="J17" s="348">
        <f>IF(ISNUMBER((Tasas!D17-Datos!BF17)/Datos!BF17),(Tasas!D17-Datos!BF17)/Datos!BF17," - ")</f>
        <v>-0.24970090128413039</v>
      </c>
      <c r="K17" s="350">
        <f>IF(ISNUMBER((Tasas!E17-Datos!BG17)/Datos!BG17),(Tasas!E17-Datos!BG17)/Datos!BG17," - ")</f>
        <v>6.5099754969109289E-2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0.19110096976611524</v>
      </c>
      <c r="E18" s="353">
        <f>IF(ISNUMBER(
   IF(D_I="SI",(Datos!J18-Datos!T18)/Datos!T18,(Datos!J18+Datos!AD18-(Datos!T18+Datos!AL18))/(Datos!T18+Datos!AL18))
     ),IF(D_I="SI",(Datos!J18-Datos!T18)/Datos!T18,(Datos!J18+Datos!AD18-(Datos!T18+Datos!AL18))/(Datos!T18+Datos!AL18))," - ")</f>
        <v>-3.9952091710154847E-2</v>
      </c>
      <c r="F18" s="353">
        <f>IF(ISNUMBER(
   IF(D_I="SI",(Datos!K18-Datos!U18)/Datos!U18,(Datos!K18+Datos!AE18-(Datos!U18+Datos!AM18))/(Datos!U18+Datos!AM18))
     ),IF(D_I="SI",(Datos!K18-Datos!U18)/Datos!U18,(Datos!K18+Datos!AE18-(Datos!U18+Datos!AM18))/(Datos!U18+Datos!AM18))," - ")</f>
        <v>-3.4236559139784947E-2</v>
      </c>
      <c r="G18" s="354">
        <f>IF(ISNUMBER(
   IF(D_I="SI",(Datos!L18-Datos!V18)/Datos!V18,(Datos!L18+Datos!AF18-(Datos!V18+Datos!AN18))/(Datos!V18+Datos!AN18))
     ),IF(D_I="SI",(Datos!L18-Datos!V18)/Datos!V18,(Datos!L18+Datos!AF18-(Datos!V18+Datos!AN18))/(Datos!V18+Datos!AN18))," - ")</f>
        <v>0.11685823754789272</v>
      </c>
      <c r="H18" s="355">
        <f>IF(ISNUMBER((Datos!M18-Datos!W18)/Datos!W18),(Datos!M18-Datos!W18)/Datos!W18," - ")</f>
        <v>6.2215477996965099E-2</v>
      </c>
      <c r="I18" s="356">
        <f>IF(ISNUMBER((Tasas!C18-Datos!BE18)/Datos!BE18),(Tasas!C18-Datos!BE18)/Datos!BE18," - ")</f>
        <v>0.15645114558602066</v>
      </c>
      <c r="J18" s="354">
        <f>IF(ISNUMBER((Tasas!D18-Datos!BF18)/Datos!BF18),(Tasas!D18-Datos!BF18)/Datos!BF18," - ")</f>
        <v>9.9871286337821316E-2</v>
      </c>
      <c r="K18" s="357">
        <f>IF(ISNUMBER((Tasas!E18-Datos!BG18)/Datos!BG18),(Tasas!E18-Datos!BG18)/Datos!BG18," - ")</f>
        <v>2.5282166253115863E-2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0.27638868094026053</v>
      </c>
      <c r="E19" s="362">
        <f>IF(ISNUMBER(
   IF(J_V="SI",(Datos!J19-Datos!T19)/Datos!T19,(Datos!J19+Datos!Z19-(Datos!T19+Datos!AH19))/(Datos!T19+Datos!AH19))
     ),IF(J_V="SI",(Datos!J19-Datos!T19)/Datos!T19,(Datos!J19+Datos!Z19-(Datos!T19+Datos!AH19))/(Datos!T19+Datos!AH19))," - ")</f>
        <v>-8.9667383331225495E-2</v>
      </c>
      <c r="F19" s="362">
        <f>IF(ISNUMBER(
   IF(J_V="SI",(Datos!K19-Datos!U19)/Datos!U19,(Datos!K19+Datos!AA19-(Datos!U19+Datos!AI19))/(Datos!U19+Datos!AI19))
     ),IF(J_V="SI",(Datos!K19-Datos!U19)/Datos!U19,(Datos!K19+Datos!AA19-(Datos!U19+Datos!AI19))/(Datos!U19+Datos!AI19))," - ")</f>
        <v>2.5723182454081865E-3</v>
      </c>
      <c r="G19" s="363">
        <f>IF(ISNUMBER(
   IF(J_V="SI",(Datos!L19-Datos!V19)/Datos!V19,(Datos!L19+Datos!AB19-(Datos!V19+Datos!AJ19))/(Datos!V19+Datos!AJ19))
     ),IF(J_V="SI",(Datos!L19-Datos!V19)/Datos!V19,(Datos!L19+Datos!AB19-(Datos!V19+Datos!AJ19))/(Datos!V19+Datos!AJ19))," - ")</f>
        <v>-2.9442815249266861E-2</v>
      </c>
      <c r="H19" s="364">
        <f>IF(ISNUMBER((Datos!M19-Datos!W19)/Datos!W19),(Datos!M19-Datos!W19)/Datos!W19," - ")</f>
        <v>0.14800261951538965</v>
      </c>
      <c r="I19" s="361">
        <f>IF(ISNUMBER((Tasas!C19-Datos!BE19)/Datos!BE19),(Tasas!C19-Datos!BE19)/Datos!BE19," - ")</f>
        <v>-3.1932991677552487E-2</v>
      </c>
      <c r="J19" s="362">
        <f>IF(ISNUMBER((Tasas!D19-Datos!BF19)/Datos!BF19),(Tasas!D19-Datos!BF19)/Datos!BF19," - ")</f>
        <v>-0.55034015799337022</v>
      </c>
      <c r="K19" s="363">
        <f>IF(ISNUMBER((Tasas!E19-Datos!BG19)/Datos!BG19),(Tasas!E19-Datos!BG19)/Datos!BG19," - ")</f>
        <v>-1.1785423438299452E-2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0.64129022778872513</v>
      </c>
      <c r="E21" s="277">
        <f t="shared" si="1"/>
        <v>6.9455866124260718E-2</v>
      </c>
      <c r="F21" s="277">
        <f t="shared" si="1"/>
        <v>6.547227223171749E-2</v>
      </c>
      <c r="G21" s="278">
        <f t="shared" si="1"/>
        <v>0.23345828726791737</v>
      </c>
      <c r="H21" s="284">
        <f t="shared" si="1"/>
        <v>0.15563307970473145</v>
      </c>
      <c r="I21" s="276">
        <f t="shared" si="1"/>
        <v>0.23336046995529988</v>
      </c>
      <c r="J21" s="277">
        <f t="shared" si="1"/>
        <v>0.37195552549037236</v>
      </c>
      <c r="K21" s="278">
        <f t="shared" si="1"/>
        <v>8.1472193913843069E-2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G+54MDtllnRE20EDzOAVvgc96Xe7Ex09++YLYDvD2bEqWCPmEbFvbu0qDUUWW0WSovnQjCd+mmdc7c/WLVYcg==" saltValue="LDk7NzMqwbUpY5xahPjwc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